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filterPrivacy="1"/>
  <xr:revisionPtr revIDLastSave="0" documentId="13_ncr:1_{457591EE-9917-4547-9BA3-EB83EA08BC01}" xr6:coauthVersionLast="47" xr6:coauthVersionMax="47" xr10:uidLastSave="{00000000-0000-0000-0000-000000000000}"/>
  <bookViews>
    <workbookView xWindow="0" yWindow="0" windowWidth="28800" windowHeight="18000" activeTab="4" xr2:uid="{00000000-000D-0000-FFFF-FFFF00000000}"/>
  </bookViews>
  <sheets>
    <sheet name="Sheet1" sheetId="3" r:id="rId1"/>
    <sheet name="Sheet1 (2)" sheetId="4" r:id="rId2"/>
    <sheet name="Topic 1" sheetId="1" r:id="rId3"/>
    <sheet name="Pareto" sheetId="5" r:id="rId4"/>
    <sheet name="Phân tích nguyên nhân" sheetId="6" r:id="rId5"/>
    <sheet name="Topic 2" sheetId="2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" l="1"/>
  <c r="J45" i="1"/>
  <c r="J46" i="1"/>
  <c r="J43" i="1"/>
  <c r="I13" i="4"/>
  <c r="K13" i="4"/>
  <c r="G68" i="1"/>
  <c r="G67" i="1"/>
  <c r="G66" i="1"/>
  <c r="S13" i="4" s="1"/>
  <c r="G65" i="1"/>
  <c r="N13" i="4" s="1"/>
  <c r="G63" i="1"/>
  <c r="E13" i="4" s="1"/>
  <c r="H44" i="1"/>
  <c r="F31" i="1"/>
  <c r="H45" i="1"/>
  <c r="H43" i="1"/>
  <c r="F19" i="1"/>
  <c r="H49" i="1" s="1"/>
  <c r="E5" i="5"/>
  <c r="I45" i="1"/>
  <c r="I44" i="1"/>
  <c r="R24" i="1"/>
  <c r="R25" i="1" s="1"/>
  <c r="L13" i="4" l="1"/>
  <c r="J13" i="4"/>
  <c r="T13" i="4"/>
  <c r="G13" i="4"/>
  <c r="Q13" i="4"/>
  <c r="J67" i="1"/>
  <c r="O13" i="4"/>
  <c r="C13" i="4"/>
  <c r="F13" i="4"/>
  <c r="R13" i="4"/>
  <c r="P13" i="4"/>
  <c r="H13" i="4"/>
  <c r="D13" i="4"/>
  <c r="M13" i="4"/>
  <c r="H48" i="1"/>
  <c r="H47" i="1"/>
  <c r="E6" i="5"/>
  <c r="I48" i="1"/>
  <c r="C4" i="4"/>
  <c r="D4" i="4" s="1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C6" i="3"/>
  <c r="C13" i="3" s="1"/>
  <c r="T13" i="3" l="1"/>
  <c r="E7" i="5"/>
  <c r="I43" i="1"/>
  <c r="R13" i="3"/>
  <c r="Q13" i="3"/>
  <c r="J13" i="3"/>
  <c r="M13" i="3"/>
  <c r="E13" i="3"/>
  <c r="I13" i="3"/>
  <c r="H13" i="3"/>
  <c r="G13" i="3"/>
  <c r="F13" i="3"/>
  <c r="L13" i="3"/>
  <c r="D13" i="3"/>
  <c r="P13" i="3"/>
  <c r="O13" i="3"/>
  <c r="N13" i="3"/>
  <c r="S13" i="3"/>
  <c r="K13" i="3"/>
  <c r="C4" i="3"/>
  <c r="D4" i="3" s="1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E8" i="5" l="1"/>
  <c r="E9" i="5" l="1"/>
  <c r="F8" i="5" s="1"/>
  <c r="H35" i="1"/>
  <c r="H46" i="1" s="1"/>
  <c r="H51" i="1" s="1"/>
  <c r="F9" i="5" l="1"/>
  <c r="F5" i="5"/>
  <c r="F6" i="5"/>
  <c r="F7" i="5"/>
  <c r="I46" i="1"/>
  <c r="I51" i="1" s="1"/>
  <c r="K36" i="1"/>
  <c r="H36" i="1"/>
  <c r="I36" i="1" s="1"/>
  <c r="W16" i="1"/>
  <c r="L16" i="1"/>
  <c r="I55" i="1" l="1"/>
  <c r="K55" i="1" s="1"/>
  <c r="F27" i="2"/>
  <c r="W24" i="2"/>
  <c r="L24" i="2"/>
  <c r="F28" i="2" l="1"/>
  <c r="H28" i="2" l="1"/>
  <c r="F29" i="2" s="1"/>
  <c r="F30" i="2" s="1"/>
  <c r="H33" i="2" s="1"/>
  <c r="D38" i="2"/>
  <c r="F20" i="1"/>
  <c r="F29" i="1" s="1"/>
  <c r="H20" i="1" l="1"/>
  <c r="F21" i="1" s="1"/>
  <c r="F22" i="1" s="1"/>
  <c r="D25" i="1" s="1"/>
  <c r="J36" i="1"/>
  <c r="L36" i="1" s="1"/>
  <c r="N33" i="2"/>
  <c r="I33" i="2"/>
  <c r="G33" i="2"/>
  <c r="C33" i="2"/>
  <c r="L33" i="2"/>
  <c r="M33" i="2"/>
  <c r="K33" i="2"/>
  <c r="J33" i="2"/>
  <c r="D33" i="2"/>
  <c r="E33" i="2"/>
  <c r="F33" i="2"/>
  <c r="E25" i="1" l="1"/>
  <c r="N25" i="1"/>
  <c r="H25" i="1"/>
  <c r="L25" i="1"/>
  <c r="M25" i="1"/>
  <c r="G25" i="1"/>
  <c r="J25" i="1"/>
  <c r="K25" i="1"/>
  <c r="F25" i="1"/>
  <c r="I25" i="1"/>
  <c r="C25" i="1"/>
</calcChain>
</file>

<file path=xl/sharedStrings.xml><?xml version="1.0" encoding="utf-8"?>
<sst xmlns="http://schemas.openxmlformats.org/spreadsheetml/2006/main" count="243" uniqueCount="139">
  <si>
    <t>-</t>
  </si>
  <si>
    <t>予定(千円)</t>
  </si>
  <si>
    <t>実績(千円)</t>
  </si>
  <si>
    <t>◆効果計算</t>
  </si>
  <si>
    <t>8月</t>
  </si>
  <si>
    <t>9月</t>
  </si>
  <si>
    <t>10月</t>
  </si>
  <si>
    <t>11月</t>
  </si>
  <si>
    <t>12月</t>
  </si>
  <si>
    <t>1月</t>
  </si>
  <si>
    <t>2月</t>
  </si>
  <si>
    <t>3月</t>
  </si>
  <si>
    <t>4月</t>
  </si>
  <si>
    <t>5月</t>
  </si>
  <si>
    <t>6月</t>
  </si>
  <si>
    <t>7月</t>
  </si>
  <si>
    <t>改善前</t>
  </si>
  <si>
    <t>改善後</t>
  </si>
  <si>
    <t>実施内容</t>
  </si>
  <si>
    <t>作業時間(分)</t>
  </si>
  <si>
    <t>作業時間合計(分)</t>
  </si>
  <si>
    <t>　金額効果：</t>
  </si>
  <si>
    <t>　データ処理・グラフ化実施頻度：</t>
  </si>
  <si>
    <t>回/月</t>
  </si>
  <si>
    <t>分/回</t>
  </si>
  <si>
    <t>　時間効果：</t>
  </si>
  <si>
    <t>分/月</t>
  </si>
  <si>
    <t>◆実施内容</t>
  </si>
  <si>
    <t>単金(円)</t>
  </si>
  <si>
    <t>円/月</t>
  </si>
  <si>
    <t>千円/月</t>
  </si>
  <si>
    <t xml:space="preserve"> </t>
  </si>
  <si>
    <t>Chương trình quản lý chuyển đổi MPB</t>
  </si>
  <si>
    <t>Step 1: Tìm bảng MPB trên White Board</t>
  </si>
  <si>
    <t>Step 1: Tìm bảng MPB trên tablet &amp; tạo yêu cầu đổi bảng trên phần mềm</t>
  </si>
  <si>
    <t>Step 2: Đi đến vị trí bảng cần đổi</t>
  </si>
  <si>
    <t>Step 2: Đi đến vị trí bảng cần đổi &amp; quét Qrcode vị trí đầu</t>
  </si>
  <si>
    <t>Step 3: Di chuyển bảng đến vị trí đích &amp; đổi bảng</t>
  </si>
  <si>
    <t>Step 3: Di chuyển bảng đến vị trí đích, đổi bảng &amp; quét Qrcode vị trí đích,Qrcdoe người thao tác</t>
  </si>
  <si>
    <t>Step 4: Không cần nhập ký lục</t>
  </si>
  <si>
    <t>Chương trình quản lý gá tồn kho</t>
  </si>
  <si>
    <t>Step 1: Tìm gá trên phần mềm</t>
  </si>
  <si>
    <t>Step 2: Lấy gá đem xuống xưởng</t>
  </si>
  <si>
    <t>Step 2: Lấy Gá -&gt; quét Qrcode đối chiếu -&gt; đem xuống xưởng</t>
  </si>
  <si>
    <t>Step 3:Thay gá</t>
  </si>
  <si>
    <t>Step 4: Ghi ký lục</t>
  </si>
  <si>
    <t>Step 4: Không cần ghi ký lục</t>
  </si>
  <si>
    <t>Action</t>
  </si>
  <si>
    <t>Thêm gá</t>
  </si>
  <si>
    <t>Step 1: Xử lý gá hư hỏng( gá bị thay thế),dán mã quản lý lên gá</t>
  </si>
  <si>
    <t>Step 1: Xử lý gá hư hỏng( gá bị thay thế), dán Qrcode quản lý lên gá</t>
  </si>
  <si>
    <t>Step 2: Tìm kệ để thêm trên sheet giấy quản lý</t>
  </si>
  <si>
    <t>Step 1: Tìm gá trên sheet giấy quản lý</t>
  </si>
  <si>
    <t>Step 2: Tìm kệ trên hệ thống -&gt; quét Qrcode để thêm vào hệ thống</t>
  </si>
  <si>
    <t>Step 3: Thêm gá vào kệ</t>
  </si>
  <si>
    <t>(MH/tháng)</t>
  </si>
  <si>
    <t>Tiết kiệm</t>
  </si>
  <si>
    <t>MH/tháng</t>
  </si>
  <si>
    <t>Thay gá
(lấy)</t>
  </si>
  <si>
    <t>(*Note: 94 lần thay gá/tháng cho cđ MPB &amp; 20 lần thay gá/tháng cho cđ FSI)</t>
  </si>
  <si>
    <t>Sai sót</t>
  </si>
  <si>
    <t>Báo cáo</t>
  </si>
  <si>
    <t>Kiểm tra master</t>
  </si>
  <si>
    <t>Kiểm tra bộ dây đầu ngày</t>
  </si>
  <si>
    <t>Kiểm kê</t>
  </si>
  <si>
    <t>Step4: Ghi chép vào file giấy</t>
  </si>
  <si>
    <t>Kiểm kê TB</t>
  </si>
  <si>
    <t>MH/năm</t>
  </si>
  <si>
    <t>Chuyển đổi bảng &amp; bão dưỡng</t>
  </si>
  <si>
    <t>số lần chuyển đổi MPB</t>
  </si>
  <si>
    <t>Tổng số bảng MPB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</si>
  <si>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</si>
  <si>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</si>
  <si>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</si>
  <si>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</si>
  <si>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</si>
  <si>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</si>
  <si>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</si>
  <si>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</si>
  <si>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</si>
  <si>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</si>
  <si>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</si>
  <si>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</si>
  <si>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Khác</t>
  </si>
  <si>
    <t>Giờ công chuyển đổi bảng(MH)</t>
  </si>
  <si>
    <t>Hạng mục</t>
  </si>
  <si>
    <t>Giờ công tích luỹ(MH)</t>
  </si>
  <si>
    <t>Tìm bảng</t>
  </si>
  <si>
    <t>Trước cải thiện</t>
  </si>
  <si>
    <t>Sau cải thiện</t>
  </si>
  <si>
    <t>chuyển đổi &amp;BD</t>
  </si>
  <si>
    <t>Kiểm tra bộ dậy ĐN</t>
  </si>
  <si>
    <t>Kiểm kê master</t>
  </si>
  <si>
    <t>Di chuyển xe</t>
  </si>
  <si>
    <t>Ghi ký lục</t>
  </si>
  <si>
    <t>Đổi bảng</t>
  </si>
  <si>
    <t>Total</t>
  </si>
  <si>
    <t>11.67</t>
  </si>
  <si>
    <t>Ghi chép ký lục</t>
  </si>
  <si>
    <t>Lũy kế</t>
  </si>
  <si>
    <t>Giờ công</t>
  </si>
  <si>
    <t>Xử lý xe rách</t>
  </si>
  <si>
    <t>Timer Tìm</t>
  </si>
  <si>
    <t>Timer Move</t>
  </si>
  <si>
    <t>timer ghi chép</t>
  </si>
  <si>
    <t>khác</t>
  </si>
  <si>
    <t>timer đổi bảng</t>
  </si>
  <si>
    <t>count</t>
  </si>
  <si>
    <t>Result</t>
  </si>
  <si>
    <t>No</t>
  </si>
  <si>
    <t>Điểm vấn đề</t>
  </si>
  <si>
    <t>Nguyên nhân</t>
  </si>
  <si>
    <t>Phương án cải thiện</t>
  </si>
  <si>
    <t>Dự đoán hiệu quả (MH/tháng)</t>
  </si>
  <si>
    <t>tin lâu</t>
  </si>
  <si>
    <r>
      <t>Bảng thông tin chứa quá nhiều data</t>
    </r>
    <r>
      <rPr>
        <sz val="11"/>
        <color theme="1"/>
        <rFont val="Calibri"/>
        <family val="2"/>
      </rPr>
      <t>→ tìm lâu</t>
    </r>
  </si>
  <si>
    <t>Người thao tác sắp xếp,cập nhật sai vị trí nhãn mã bảng</t>
  </si>
  <si>
    <t xml:space="preserve">Tìm kiếm mã thiết bị trên bảng thông </t>
  </si>
  <si>
    <t>Tốn thêm nhiều thời gian đi tìm bảng  trên line, trên xe…</t>
  </si>
  <si>
    <t>khi thông tin vị trí thiết bị trên bảng quản lý thường sai sót</t>
  </si>
  <si>
    <t>vào line (không có cơ chế real time)</t>
  </si>
  <si>
    <t>Thông tin ghi chép trên bảng quản lý khó đọc</t>
  </si>
  <si>
    <t>Quản lý ca tốn thời gian cho việc xác nhận thông tin</t>
  </si>
  <si>
    <t>chép trên bảng quản lý và tổng hợp ký lục lúc cuối ca</t>
  </si>
  <si>
    <t xml:space="preserve">bảng quản lý tại ngay thời điểm chuyển đổi bảng </t>
  </si>
  <si>
    <t xml:space="preserve">Vị trí xe đẩy bảng thường không được sắp xếp theo thứ </t>
  </si>
  <si>
    <t>xe đẩy bảng</t>
  </si>
  <si>
    <t xml:space="preserve">Chưa có biểu thị thứ tự số đặt để tại khu vực quản lý </t>
  </si>
  <si>
    <t xml:space="preserve">tự của mã xe -&gt; tốn thời gian tìm xe đổi bảng </t>
  </si>
  <si>
    <t>Layout lại vị trí, diện tích</t>
  </si>
  <si>
    <t xml:space="preserve">đặt để của từng xe và </t>
  </si>
  <si>
    <t>đánh số thứ tự tương ứng</t>
  </si>
  <si>
    <t>mã xe dưới nền</t>
  </si>
  <si>
    <t>Nhập liệu thủ công  để tổng hợp ký luc</t>
  </si>
  <si>
    <t xml:space="preserve">Ghi chép lại thông tin đổi bảng trên bảng quản lý thường </t>
  </si>
  <si>
    <t>sai sót</t>
  </si>
  <si>
    <t>Ghi chép bằng tay không loại bỏ được sai sót</t>
  </si>
  <si>
    <t>Người thao tác phải ghi nhớ nhiều thông tin để ghi chép</t>
  </si>
  <si>
    <t>Không thể thay đổi,cập nhật được vị trí mã thiết bị trên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</si>
</sst>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5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9" xfId="0" applyFont="1" applyBorder="1" applyAlignment="1">
      <alignment vertical="center"/>
    </xf>
    <xf numFmtId="0" fontId="0" fillId="0" borderId="3" xfId="0" quotePrefix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2" xfId="0" quotePrefix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0" fillId="0" borderId="4" xfId="0" quotePrefix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8" xfId="0" quotePrefix="1" applyBorder="1" applyAlignment="1">
      <alignment vertical="center"/>
    </xf>
    <xf numFmtId="0" fontId="0" fillId="0" borderId="9" xfId="0" quotePrefix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0" xfId="0" quotePrefix="1" applyFont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7" xfId="0" quotePrefix="1" applyFont="1" applyBorder="1" applyAlignment="1">
      <alignment vertical="center"/>
    </xf>
    <xf numFmtId="0" fontId="3" fillId="0" borderId="0" xfId="0" quotePrefix="1" applyFont="1" applyAlignment="1">
      <alignment horizontal="left" vertical="center"/>
    </xf>
    <xf numFmtId="0" fontId="1" fillId="2" borderId="8" xfId="0" applyFont="1" applyFill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6" xfId="0" quotePrefix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164" fontId="0" fillId="0" borderId="10" xfId="0" applyNumberForma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horizontal="right"/>
    </xf>
    <xf numFmtId="1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0" fontId="4" fillId="0" borderId="0" xfId="0" applyFont="1" applyAlignment="1">
      <alignment vertical="center"/>
    </xf>
    <xf numFmtId="0" fontId="0" fillId="3" borderId="0" xfId="0" applyFill="1" applyAlignment="1">
      <alignment horizontal="right" vertical="center"/>
    </xf>
    <xf numFmtId="164" fontId="0" fillId="0" borderId="0" xfId="0" applyNumberFormat="1" applyAlignment="1">
      <alignment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0" xfId="0" applyNumberFormat="1"/>
    <xf numFmtId="1" fontId="0" fillId="0" borderId="0" xfId="0" applyNumberFormat="1"/>
    <xf numFmtId="9" fontId="0" fillId="0" borderId="0" xfId="2" applyFont="1" applyAlignment="1">
      <alignment vertical="center"/>
    </xf>
    <xf numFmtId="164" fontId="0" fillId="3" borderId="0" xfId="0" applyNumberFormat="1" applyFill="1" applyAlignment="1">
      <alignment vertical="center"/>
    </xf>
    <xf numFmtId="0" fontId="0" fillId="0" borderId="1" xfId="0" applyBorder="1"/>
    <xf numFmtId="165" fontId="0" fillId="0" borderId="1" xfId="2" applyNumberFormat="1" applyFont="1" applyBorder="1"/>
    <xf numFmtId="0" fontId="6" fillId="0" borderId="0" xfId="0" applyFont="1"/>
    <xf numFmtId="2" fontId="0" fillId="0" borderId="0" xfId="0" applyNumberFormat="1" applyAlignment="1">
      <alignment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8" xfId="0" quotePrefix="1" applyFont="1" applyFill="1" applyBorder="1" applyAlignment="1">
      <alignment horizontal="center" vertical="center"/>
    </xf>
    <xf numFmtId="0" fontId="1" fillId="2" borderId="9" xfId="0" quotePrefix="1" applyFont="1" applyFill="1" applyBorder="1" applyAlignment="1">
      <alignment horizontal="center" vertical="center"/>
    </xf>
    <xf numFmtId="0" fontId="1" fillId="2" borderId="10" xfId="0" quotePrefix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</cellXfs>
  <cellStyles count="3">
    <cellStyle name="Normal" xfId="0" builtinId="0"/>
    <cellStyle name="Percent" xfId="2" builtinId="5"/>
    <cellStyle name="標準_2.１０上期　改善フォロー表(生管)" xfId="1" xr:uid="{00000000-0005-0000-0000-000002000000}"/>
  </cellStyles>
  <dxfs count="0"/>
  <tableStyles count="0" defaultTableStyle="TableStyleMedium2" defaultPivotStyle="PivotStyleLight16"/>
  <colors>
    <mruColors>
      <color rgb="FFFF6600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50000"/>
                    <a:lumOff val="50000"/>
                  </a:schemeClr>
                </a:solidFill>
              </a:rPr>
              <a:t>Giờ công chuyển đổi bảng MPB</a:t>
            </a:r>
          </a:p>
        </c:rich>
      </c:tx>
      <c:layout>
        <c:manualLayout>
          <c:xMode val="edge"/>
          <c:yMode val="edge"/>
          <c:x val="0.30742773974687465"/>
          <c:y val="7.2398190045248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>
        <c:manualLayout>
          <c:layoutTarget val="inner"/>
          <c:xMode val="edge"/>
          <c:yMode val="edge"/>
          <c:x val="6.3198200492791998E-2"/>
          <c:y val="0.27817147856517938"/>
          <c:w val="0.88370646288812948"/>
          <c:h val="0.431318168562263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Tổng số bảng MPB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Sheet1!$C$9:$T$10</c:f>
              <c:multiLvlStrCache>
                <c:ptCount val="18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Sheet1!$C$11:$T$11</c:f>
              <c:numCache>
                <c:formatCode>General</c:formatCode>
                <c:ptCount val="18"/>
                <c:pt idx="0">
                  <c:v>126</c:v>
                </c:pt>
                <c:pt idx="1">
                  <c:v>126</c:v>
                </c:pt>
                <c:pt idx="2">
                  <c:v>132</c:v>
                </c:pt>
                <c:pt idx="3">
                  <c:v>135</c:v>
                </c:pt>
                <c:pt idx="4">
                  <c:v>141</c:v>
                </c:pt>
                <c:pt idx="5">
                  <c:v>145</c:v>
                </c:pt>
                <c:pt idx="6">
                  <c:v>148</c:v>
                </c:pt>
                <c:pt idx="7">
                  <c:v>152</c:v>
                </c:pt>
                <c:pt idx="8">
                  <c:v>157</c:v>
                </c:pt>
                <c:pt idx="9">
                  <c:v>161</c:v>
                </c:pt>
                <c:pt idx="10">
                  <c:v>161</c:v>
                </c:pt>
                <c:pt idx="11">
                  <c:v>163</c:v>
                </c:pt>
                <c:pt idx="12">
                  <c:v>165</c:v>
                </c:pt>
                <c:pt idx="13">
                  <c:v>166</c:v>
                </c:pt>
                <c:pt idx="14">
                  <c:v>166</c:v>
                </c:pt>
                <c:pt idx="15">
                  <c:v>169</c:v>
                </c:pt>
                <c:pt idx="16">
                  <c:v>172</c:v>
                </c:pt>
                <c:pt idx="17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0-8A4B-B1BC-A3BBBEFD83BD}"/>
            </c:ext>
          </c:extLst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số lần chuyển đổi MPB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Sheet1!$C$9:$T$10</c:f>
              <c:multiLvlStrCache>
                <c:ptCount val="18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Sheet1!$C$12:$T$12</c:f>
            </c:numRef>
          </c:val>
          <c:extLst>
            <c:ext xmlns:c16="http://schemas.microsoft.com/office/drawing/2014/chart" uri="{C3380CC4-5D6E-409C-BE32-E72D297353CC}">
              <c16:uniqueId val="{00000001-6680-8A4B-B1BC-A3BBBEFD8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axId val="294912320"/>
        <c:axId val="295001216"/>
      </c:barChart>
      <c:lineChart>
        <c:grouping val="standard"/>
        <c:varyColors val="0"/>
        <c:ser>
          <c:idx val="2"/>
          <c:order val="2"/>
          <c:tx>
            <c:strRef>
              <c:f>Sheet1!$B$13</c:f>
              <c:strCache>
                <c:ptCount val="1"/>
                <c:pt idx="0">
                  <c:v>Giờ công chuyển đổi bảng(MH)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multiLvlStrRef>
              <c:f>Sheet1!$C$9:$T$10</c:f>
              <c:multiLvlStrCache>
                <c:ptCount val="18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Sheet1!$C$13:$T$13</c:f>
              <c:numCache>
                <c:formatCode>0</c:formatCode>
                <c:ptCount val="18"/>
                <c:pt idx="0">
                  <c:v>11.316666666666666</c:v>
                </c:pt>
                <c:pt idx="1">
                  <c:v>11.801666666666666</c:v>
                </c:pt>
                <c:pt idx="2">
                  <c:v>13.741666666666665</c:v>
                </c:pt>
                <c:pt idx="3">
                  <c:v>14.549999999999999</c:v>
                </c:pt>
                <c:pt idx="4">
                  <c:v>16.166666666666664</c:v>
                </c:pt>
                <c:pt idx="5">
                  <c:v>17.298333333333332</c:v>
                </c:pt>
                <c:pt idx="6">
                  <c:v>18.106666666666666</c:v>
                </c:pt>
                <c:pt idx="7">
                  <c:v>19.076666666666664</c:v>
                </c:pt>
                <c:pt idx="8">
                  <c:v>20.046666666666663</c:v>
                </c:pt>
                <c:pt idx="9">
                  <c:v>20.693333333333332</c:v>
                </c:pt>
                <c:pt idx="10">
                  <c:v>17.783333333333331</c:v>
                </c:pt>
                <c:pt idx="11">
                  <c:v>21.016666666666666</c:v>
                </c:pt>
                <c:pt idx="12">
                  <c:v>21.986666666666665</c:v>
                </c:pt>
                <c:pt idx="13">
                  <c:v>22.794999999999998</c:v>
                </c:pt>
                <c:pt idx="14">
                  <c:v>22.956666666666663</c:v>
                </c:pt>
                <c:pt idx="15">
                  <c:v>24.249999999999996</c:v>
                </c:pt>
                <c:pt idx="16">
                  <c:v>24.573333333333331</c:v>
                </c:pt>
                <c:pt idx="17">
                  <c:v>24.734999999999999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80-8A4B-B1BC-A3BBBEFD8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228480"/>
        <c:axId val="401110960"/>
      </c:lineChart>
      <c:catAx>
        <c:axId val="29491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accent1">
                        <a:lumMod val="75000"/>
                      </a:schemeClr>
                    </a:solidFill>
                  </a:rPr>
                  <a:t>Tổng số bảng</a:t>
                </a:r>
              </a:p>
            </c:rich>
          </c:tx>
          <c:layout>
            <c:manualLayout>
              <c:xMode val="edge"/>
              <c:yMode val="edge"/>
              <c:x val="6.0832535514468641E-3"/>
              <c:y val="0.17048526739587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95001216"/>
        <c:crosses val="autoZero"/>
        <c:auto val="1"/>
        <c:lblAlgn val="ctr"/>
        <c:lblOffset val="100"/>
        <c:tickMarkSkip val="1"/>
        <c:noMultiLvlLbl val="0"/>
      </c:catAx>
      <c:valAx>
        <c:axId val="295001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94912320"/>
        <c:crosses val="autoZero"/>
        <c:crossBetween val="between"/>
        <c:majorUnit val="50"/>
      </c:valAx>
      <c:valAx>
        <c:axId val="40111096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401228480"/>
        <c:crosses val="max"/>
        <c:crossBetween val="between"/>
      </c:valAx>
      <c:catAx>
        <c:axId val="40122848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2060"/>
                    </a:solidFill>
                  </a:rPr>
                  <a:t>Giờ công (MH)</a:t>
                </a:r>
              </a:p>
            </c:rich>
          </c:tx>
          <c:layout>
            <c:manualLayout>
              <c:xMode val="edge"/>
              <c:yMode val="edge"/>
              <c:x val="0.89119526178604436"/>
              <c:y val="0.1795350411515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out"/>
        <c:minorTickMark val="none"/>
        <c:tickLblPos val="nextTo"/>
        <c:crossAx val="401110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39146336216171"/>
          <c:y val="6.9444444444444448E-2"/>
          <c:w val="0.83907043586764785"/>
          <c:h val="0.542222222222222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'Sheet1 (2)'!$B$11</c:f>
              <c:strCache>
                <c:ptCount val="1"/>
                <c:pt idx="0">
                  <c:v>Tổng số bảng MPB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'Sheet1 (2)'!$C$9:$T$10</c:f>
              <c:multiLvlStrCache>
                <c:ptCount val="18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'Sheet1 (2)'!$C$11:$T$11</c:f>
              <c:numCache>
                <c:formatCode>General</c:formatCode>
                <c:ptCount val="18"/>
                <c:pt idx="0">
                  <c:v>126</c:v>
                </c:pt>
                <c:pt idx="1">
                  <c:v>126</c:v>
                </c:pt>
                <c:pt idx="2">
                  <c:v>132</c:v>
                </c:pt>
                <c:pt idx="3">
                  <c:v>135</c:v>
                </c:pt>
                <c:pt idx="4">
                  <c:v>141</c:v>
                </c:pt>
                <c:pt idx="5">
                  <c:v>145</c:v>
                </c:pt>
                <c:pt idx="6">
                  <c:v>148</c:v>
                </c:pt>
                <c:pt idx="7">
                  <c:v>152</c:v>
                </c:pt>
                <c:pt idx="8">
                  <c:v>157</c:v>
                </c:pt>
                <c:pt idx="9">
                  <c:v>161</c:v>
                </c:pt>
                <c:pt idx="10">
                  <c:v>161</c:v>
                </c:pt>
                <c:pt idx="11">
                  <c:v>163</c:v>
                </c:pt>
                <c:pt idx="12">
                  <c:v>165</c:v>
                </c:pt>
                <c:pt idx="13">
                  <c:v>166</c:v>
                </c:pt>
                <c:pt idx="14">
                  <c:v>170</c:v>
                </c:pt>
                <c:pt idx="15">
                  <c:v>176</c:v>
                </c:pt>
                <c:pt idx="16">
                  <c:v>183</c:v>
                </c:pt>
                <c:pt idx="17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2-CA41-A733-69CBBDD85579}"/>
            </c:ext>
          </c:extLst>
        </c:ser>
        <c:ser>
          <c:idx val="1"/>
          <c:order val="1"/>
          <c:tx>
            <c:strRef>
              <c:f>'Sheet1 (2)'!$B$12</c:f>
              <c:strCache>
                <c:ptCount val="1"/>
                <c:pt idx="0">
                  <c:v>số lần chuyển đổi MPB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'Sheet1 (2)'!$C$9:$T$10</c:f>
              <c:multiLvlStrCache>
                <c:ptCount val="18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'Sheet1 (2)'!$C$12:$T$12</c:f>
            </c:numRef>
          </c:val>
          <c:extLst>
            <c:ext xmlns:c16="http://schemas.microsoft.com/office/drawing/2014/chart" uri="{C3380CC4-5D6E-409C-BE32-E72D297353CC}">
              <c16:uniqueId val="{00000001-FA02-CA41-A733-69CBBDD85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axId val="124845680"/>
        <c:axId val="124847392"/>
      </c:barChart>
      <c:catAx>
        <c:axId val="12484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VN"/>
          </a:p>
        </c:txPr>
        <c:crossAx val="124847392"/>
        <c:crosses val="autoZero"/>
        <c:auto val="1"/>
        <c:lblAlgn val="ctr"/>
        <c:lblOffset val="100"/>
        <c:noMultiLvlLbl val="0"/>
      </c:catAx>
      <c:valAx>
        <c:axId val="124847392"/>
        <c:scaling>
          <c:orientation val="minMax"/>
          <c:max val="2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bg2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Tổng số bảng MPB</a:t>
                </a:r>
              </a:p>
            </c:rich>
          </c:tx>
          <c:layout>
            <c:manualLayout>
              <c:xMode val="edge"/>
              <c:yMode val="edge"/>
              <c:x val="5.8926773497575101E-2"/>
              <c:y val="0.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VN"/>
          </a:p>
        </c:txPr>
        <c:crossAx val="12484568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>
                <a:latin typeface="Arial" panose="020B0604020202020204" pitchFamily="34" charset="0"/>
                <a:cs typeface="Arial" panose="020B0604020202020204" pitchFamily="34" charset="0"/>
              </a:rPr>
              <a:t>Mối tương quan giữa giờ công chuyển đổi bảng &amp; số lượng bảng MPB </a:t>
            </a:r>
          </a:p>
        </c:rich>
      </c:tx>
      <c:layout>
        <c:manualLayout>
          <c:xMode val="edge"/>
          <c:yMode val="edge"/>
          <c:x val="0.14509354232437013"/>
          <c:y val="8.796296296296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VN"/>
        </a:p>
      </c:txPr>
    </c:title>
    <c:autoTitleDeleted val="0"/>
    <c:plotArea>
      <c:layout>
        <c:manualLayout>
          <c:layoutTarget val="inner"/>
          <c:xMode val="edge"/>
          <c:yMode val="edge"/>
          <c:x val="0.13330929772623976"/>
          <c:y val="0.39143450563169169"/>
          <c:w val="0.83703243201470046"/>
          <c:h val="0.5422222222222222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'Sheet1 (2)'!$B$12</c:f>
              <c:strCache>
                <c:ptCount val="1"/>
                <c:pt idx="0">
                  <c:v>số lần chuyển đổi MPB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'Sheet1 (2)'!$C$9:$T$10</c:f>
              <c:multiLvlStrCache>
                <c:ptCount val="18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'Sheet1 (2)'!$C$12:$T$12</c:f>
            </c:numRef>
          </c:val>
          <c:extLst>
            <c:ext xmlns:c16="http://schemas.microsoft.com/office/drawing/2014/chart" uri="{C3380CC4-5D6E-409C-BE32-E72D297353CC}">
              <c16:uniqueId val="{00000001-3BA1-AF47-8465-B8DFE1F922A4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67"/>
        <c:axId val="124845680"/>
        <c:axId val="124847392"/>
      </c:barChart>
      <c:lineChart>
        <c:grouping val="standard"/>
        <c:varyColors val="0"/>
        <c:ser>
          <c:idx val="2"/>
          <c:order val="1"/>
          <c:tx>
            <c:strRef>
              <c:f>'Sheet1 (2)'!$B$13</c:f>
              <c:strCache>
                <c:ptCount val="1"/>
                <c:pt idx="0">
                  <c:v>Giờ công chuyển đổi bảng(MH)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elete val="1"/>
          </c:dLbls>
          <c:cat>
            <c:multiLvlStrRef>
              <c:f>'Sheet1 (2)'!$C$9:$T$10</c:f>
              <c:multiLvlStrCache>
                <c:ptCount val="18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'Sheet1 (2)'!$C$13:$T$13</c:f>
              <c:numCache>
                <c:formatCode>0</c:formatCode>
                <c:ptCount val="18"/>
                <c:pt idx="0">
                  <c:v>36.700000000000003</c:v>
                </c:pt>
                <c:pt idx="1">
                  <c:v>37.599999999999994</c:v>
                </c:pt>
                <c:pt idx="2">
                  <c:v>41.2</c:v>
                </c:pt>
                <c:pt idx="3">
                  <c:v>42.7</c:v>
                </c:pt>
                <c:pt idx="4">
                  <c:v>45.7</c:v>
                </c:pt>
                <c:pt idx="5">
                  <c:v>47.8</c:v>
                </c:pt>
                <c:pt idx="6">
                  <c:v>49.3</c:v>
                </c:pt>
                <c:pt idx="7">
                  <c:v>51.099999999999994</c:v>
                </c:pt>
                <c:pt idx="8">
                  <c:v>52.899999999999991</c:v>
                </c:pt>
                <c:pt idx="9">
                  <c:v>54.099999999999994</c:v>
                </c:pt>
                <c:pt idx="10">
                  <c:v>48.7</c:v>
                </c:pt>
                <c:pt idx="11">
                  <c:v>54.7</c:v>
                </c:pt>
                <c:pt idx="12">
                  <c:v>56.5</c:v>
                </c:pt>
                <c:pt idx="13">
                  <c:v>58</c:v>
                </c:pt>
                <c:pt idx="14">
                  <c:v>58.3</c:v>
                </c:pt>
                <c:pt idx="15">
                  <c:v>60.7</c:v>
                </c:pt>
                <c:pt idx="16">
                  <c:v>61.3</c:v>
                </c:pt>
                <c:pt idx="17">
                  <c:v>61.599999999999994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A1-AF47-8465-B8DFE1F922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4845680"/>
        <c:axId val="124847392"/>
      </c:lineChart>
      <c:catAx>
        <c:axId val="124845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847392"/>
        <c:crosses val="autoZero"/>
        <c:auto val="1"/>
        <c:lblAlgn val="ctr"/>
        <c:lblOffset val="100"/>
        <c:noMultiLvlLbl val="0"/>
      </c:catAx>
      <c:valAx>
        <c:axId val="124847392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bg2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Giờ công</a:t>
                </a:r>
              </a:p>
              <a:p>
                <a:pPr>
                  <a:defRPr>
                    <a:solidFill>
                      <a:schemeClr val="bg2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bg2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chuyển đổi bảng(MH)</a:t>
                </a:r>
              </a:p>
            </c:rich>
          </c:tx>
          <c:layout>
            <c:manualLayout>
              <c:xMode val="edge"/>
              <c:yMode val="edge"/>
              <c:x val="4.6379795349294289E-2"/>
              <c:y val="0.42958333333333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VN"/>
          </a:p>
        </c:txPr>
        <c:crossAx val="124845680"/>
        <c:crosses val="autoZero"/>
        <c:crossBetween val="between"/>
        <c:majorUnit val="20"/>
        <c:minorUnit val="4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2">
                    <a:lumMod val="50000"/>
                  </a:schemeClr>
                </a:solidFill>
              </a:rPr>
              <a:t>Biểu đồ phân tích  chuyển đổi bảng MPB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902314814814815"/>
          <c:w val="0.83629636920384953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Pareto!$D$3</c:f>
              <c:strCache>
                <c:ptCount val="1"/>
                <c:pt idx="0">
                  <c:v>Giờ công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Pareto!$C$5:$C$9</c:f>
              <c:strCache>
                <c:ptCount val="5"/>
                <c:pt idx="0">
                  <c:v>Tìm bảng</c:v>
                </c:pt>
                <c:pt idx="1">
                  <c:v>Ghi chép ký lục</c:v>
                </c:pt>
                <c:pt idx="2">
                  <c:v>Đổi bảng</c:v>
                </c:pt>
                <c:pt idx="3">
                  <c:v>Di chuyển xe</c:v>
                </c:pt>
                <c:pt idx="4">
                  <c:v>Khác</c:v>
                </c:pt>
              </c:strCache>
            </c:strRef>
          </c:cat>
          <c:val>
            <c:numRef>
              <c:f>Pareto!$D$5:$D$9</c:f>
              <c:numCache>
                <c:formatCode>General</c:formatCode>
                <c:ptCount val="5"/>
                <c:pt idx="0">
                  <c:v>26.2</c:v>
                </c:pt>
                <c:pt idx="1">
                  <c:v>15.899999999999999</c:v>
                </c:pt>
                <c:pt idx="2">
                  <c:v>10</c:v>
                </c:pt>
                <c:pt idx="3">
                  <c:v>7.5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2-4153-A017-F5C83DF934A4}"/>
            </c:ext>
          </c:extLst>
        </c:ser>
        <c:ser>
          <c:idx val="1"/>
          <c:order val="1"/>
          <c:tx>
            <c:strRef>
              <c:f>Pareto!$E$3</c:f>
              <c:strCache>
                <c:ptCount val="1"/>
                <c:pt idx="0">
                  <c:v>Giờ công tích luỹ(MH)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Pareto!$C$5:$C$9</c:f>
              <c:strCache>
                <c:ptCount val="5"/>
                <c:pt idx="0">
                  <c:v>Tìm bảng</c:v>
                </c:pt>
                <c:pt idx="1">
                  <c:v>Ghi chép ký lục</c:v>
                </c:pt>
                <c:pt idx="2">
                  <c:v>Đổi bảng</c:v>
                </c:pt>
                <c:pt idx="3">
                  <c:v>Di chuyển xe</c:v>
                </c:pt>
                <c:pt idx="4">
                  <c:v>Khác</c:v>
                </c:pt>
              </c:strCache>
            </c:strRef>
          </c:cat>
          <c:val>
            <c:numRef>
              <c:f>Pareto!$E$4:$E$9</c:f>
            </c:numRef>
          </c:val>
          <c:extLst>
            <c:ext xmlns:c16="http://schemas.microsoft.com/office/drawing/2014/chart" uri="{C3380CC4-5D6E-409C-BE32-E72D297353CC}">
              <c16:uniqueId val="{00000001-4A02-4153-A017-F5C83DF93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060993440"/>
        <c:axId val="2060977632"/>
      </c:barChart>
      <c:lineChart>
        <c:grouping val="standard"/>
        <c:varyColors val="0"/>
        <c:ser>
          <c:idx val="2"/>
          <c:order val="2"/>
          <c:tx>
            <c:strRef>
              <c:f>Pareto!$F$3</c:f>
              <c:strCache>
                <c:ptCount val="1"/>
                <c:pt idx="0">
                  <c:v>Lũy kế</c:v>
                </c:pt>
              </c:strCache>
            </c:strRef>
          </c:tx>
          <c:spPr>
            <a:ln w="28575" cap="rnd">
              <a:solidFill>
                <a:srgbClr val="FF66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Pareto!$C$4:$C$9</c:f>
              <c:strCache>
                <c:ptCount val="6"/>
                <c:pt idx="1">
                  <c:v>Tìm bảng</c:v>
                </c:pt>
                <c:pt idx="2">
                  <c:v>Ghi chép ký lục</c:v>
                </c:pt>
                <c:pt idx="3">
                  <c:v>Đổi bảng</c:v>
                </c:pt>
                <c:pt idx="4">
                  <c:v>Di chuyển xe</c:v>
                </c:pt>
                <c:pt idx="5">
                  <c:v>Khác</c:v>
                </c:pt>
              </c:strCache>
            </c:strRef>
          </c:cat>
          <c:val>
            <c:numRef>
              <c:f>Pareto!$F$4:$F$9</c:f>
              <c:numCache>
                <c:formatCode>0.0%</c:formatCode>
                <c:ptCount val="6"/>
                <c:pt idx="0" formatCode="General">
                  <c:v>0</c:v>
                </c:pt>
                <c:pt idx="1">
                  <c:v>0.43234323432343236</c:v>
                </c:pt>
                <c:pt idx="2">
                  <c:v>0.69471947194719474</c:v>
                </c:pt>
                <c:pt idx="3">
                  <c:v>0.85973597359735976</c:v>
                </c:pt>
                <c:pt idx="4">
                  <c:v>0.98349834983498352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02-4153-A017-F5C83DF93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988448"/>
        <c:axId val="2060984704"/>
      </c:lineChart>
      <c:catAx>
        <c:axId val="206099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2">
                        <a:lumMod val="50000"/>
                      </a:schemeClr>
                    </a:solidFill>
                  </a:rPr>
                  <a:t>MH/tháng</a:t>
                </a:r>
              </a:p>
            </c:rich>
          </c:tx>
          <c:layout>
            <c:manualLayout>
              <c:xMode val="edge"/>
              <c:yMode val="edge"/>
              <c:x val="1.6300180427209238E-2"/>
              <c:y val="8.799413101532935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060977632"/>
        <c:crosses val="autoZero"/>
        <c:auto val="1"/>
        <c:lblAlgn val="ctr"/>
        <c:lblOffset val="100"/>
        <c:noMultiLvlLbl val="0"/>
      </c:catAx>
      <c:valAx>
        <c:axId val="2060977632"/>
        <c:scaling>
          <c:orientation val="minMax"/>
          <c:max val="7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060993440"/>
        <c:crosses val="autoZero"/>
        <c:crossBetween val="between"/>
      </c:valAx>
      <c:valAx>
        <c:axId val="2060984704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060988448"/>
        <c:crosses val="max"/>
        <c:crossBetween val="midCat"/>
      </c:valAx>
      <c:catAx>
        <c:axId val="206098844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one"/>
        <c:spPr>
          <a:solidFill>
            <a:sysClr val="window" lastClr="FFFFFF"/>
          </a:solidFill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06098470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1394280</xdr:colOff>
      <xdr:row>15</xdr:row>
      <xdr:rowOff>187778</xdr:rowOff>
    </xdr:from>
    <xdr:to>
      <xdr:col>9</xdr:col>
      <xdr:colOff>259445</xdr:colOff>
      <xdr:row>30</xdr:row>
      <xdr:rowOff>73478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18DB3-19B3-47E5-795C-E8F68E2F4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114301</xdr:rowOff>
    </xdr:from>
    <xdr:to>
      <xdr:col>14</xdr:col>
      <xdr:colOff>63500</xdr:colOff>
      <xdr:row>44</xdr:row>
      <xdr:rowOff>63501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48778412-1596-D010-8456-373E09AADB5A}"/>
            </a:ext>
          </a:extLst>
        </xdr:cNvPr>
        <xdr:cNvGrpSpPr/>
      </xdr:nvGrpSpPr>
      <xdr:grpSpPr>
        <a:xfrm>
          <a:off x="2841625" y="3162301"/>
          <a:ext cx="8064500" cy="5092700"/>
          <a:chOff x="2832100" y="2971801"/>
          <a:chExt cx="8140700" cy="5092700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F0A5740F-9704-A024-16A3-680508680552}"/>
              </a:ext>
            </a:extLst>
          </xdr:cNvPr>
          <xdr:cNvGrpSpPr/>
        </xdr:nvGrpSpPr>
        <xdr:grpSpPr>
          <a:xfrm>
            <a:off x="2832100" y="2971801"/>
            <a:ext cx="8140700" cy="5092700"/>
            <a:chOff x="2832100" y="3246695"/>
            <a:chExt cx="8140700" cy="4817805"/>
          </a:xfrm>
        </xdr:grpSpPr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BFED2FD-7ECB-317A-E7B7-4D37424806EB}"/>
                </a:ext>
              </a:extLst>
            </xdr:cNvPr>
            <xdr:cNvGraphicFramePr/>
          </xdr:nvGraphicFramePr>
          <xdr:xfrm>
            <a:off x="2832100" y="5734050"/>
            <a:ext cx="8140700" cy="23304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C553AB8-4CE4-A748-A394-77C1AF05E5F3}"/>
                </a:ext>
              </a:extLst>
            </xdr:cNvPr>
            <xdr:cNvGraphicFramePr>
              <a:graphicFrameLocks/>
            </xdr:cNvGraphicFramePr>
          </xdr:nvGraphicFramePr>
          <xdr:xfrm>
            <a:off x="2832100" y="3246695"/>
            <a:ext cx="8140700" cy="248100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CBDEB0F6-88A4-90C6-5654-6CEA3F13DE28}"/>
              </a:ext>
            </a:extLst>
          </xdr:cNvPr>
          <xdr:cNvSpPr/>
        </xdr:nvSpPr>
        <xdr:spPr>
          <a:xfrm>
            <a:off x="7718275" y="4375150"/>
            <a:ext cx="304800" cy="330200"/>
          </a:xfrm>
          <a:prstGeom prst="ellipse">
            <a:avLst/>
          </a:prstGeom>
          <a:solidFill>
            <a:schemeClr val="accent1">
              <a:alpha val="43529"/>
            </a:schemeClr>
          </a:solidFill>
          <a:ln>
            <a:prstDash val="sysDash"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0.63495</cdr:x>
      <cdr:y>0.65375</cdr:y>
    </cdr:from>
    <cdr:to>
      <cdr:x>0.65367</cdr:x>
      <cdr:y>0.69733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4DCEE43-EDA6-6E34-F910-BCD9E96AA91D}"/>
            </a:ext>
          </a:extLst>
        </cdr:cNvPr>
        <cdr:cNvCxnSpPr/>
      </cdr:nvCxnSpPr>
      <cdr:spPr>
        <a:xfrm xmlns:a="http://schemas.openxmlformats.org/drawingml/2006/main">
          <a:off x="5168900" y="1714500"/>
          <a:ext cx="152400" cy="114300"/>
        </a:xfrm>
        <a:prstGeom xmlns:a="http://schemas.openxmlformats.org/drawingml/2006/main" prst="line">
          <a:avLst/>
        </a:prstGeom>
        <a:ln xmlns:a="http://schemas.openxmlformats.org/drawingml/2006/main" w="9525"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0.60251</cdr:x>
      <cdr:y>0.67864</cdr:y>
    </cdr:from>
    <cdr:to>
      <cdr:x>0.71328</cdr:x>
      <cdr:y>0.78049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BE47ECE9-0325-ACAE-34D5-BA612F9AB101}"/>
            </a:ext>
          </a:extLst>
        </cdr:cNvPr>
        <cdr:cNvSpPr txBox="1"/>
      </cdr:nvSpPr>
      <cdr:spPr>
        <a:xfrm xmlns:a="http://schemas.openxmlformats.org/drawingml/2006/main">
          <a:off x="4858978" y="1779773"/>
          <a:ext cx="893305" cy="2671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kern="1200">
              <a:solidFill>
                <a:srgbClr val="0070C0"/>
              </a:solidFill>
            </a:rPr>
            <a:t>Tet Holiday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1217757</xdr:colOff>
      <xdr:row>14</xdr:row>
      <xdr:rowOff>181552</xdr:rowOff>
    </xdr:from>
    <xdr:to>
      <xdr:col>10</xdr:col>
      <xdr:colOff>282575</xdr:colOff>
      <xdr:row>29</xdr:row>
      <xdr:rowOff>67252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7"/>
  <sheetViews>
    <sheetView topLeftCell="A4" zoomScaleNormal="100" workbookViewId="0">
      <selection activeCell="H36" sqref="H36"/>
    </sheetView>
  </sheetViews>
  <sheetFormatPr baseColWidth="10" defaultColWidth="8.83203125" defaultRowHeight="15" x14ac:dyDescent="0.2"/>
  <cols>
    <col min="2" max="2" width="28.5" bestFit="1" customWidth="1"/>
  </cols>
  <sheetData>
    <row r="1" spans="2:20" x14ac:dyDescent="0.2">
      <c r="C1" s="58">
        <v>2023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>
        <v>2024</v>
      </c>
      <c r="P1" s="58"/>
      <c r="Q1" s="58"/>
    </row>
    <row r="2" spans="2:20" x14ac:dyDescent="0.2">
      <c r="C2">
        <v>4</v>
      </c>
      <c r="D2">
        <v>5</v>
      </c>
      <c r="E2">
        <v>6</v>
      </c>
      <c r="F2">
        <v>7</v>
      </c>
      <c r="G2">
        <v>8</v>
      </c>
      <c r="H2">
        <v>9</v>
      </c>
      <c r="I2">
        <v>10</v>
      </c>
      <c r="J2">
        <v>11</v>
      </c>
      <c r="K2">
        <v>12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</row>
    <row r="3" spans="2:20" x14ac:dyDescent="0.2">
      <c r="B3">
        <v>123</v>
      </c>
      <c r="C3">
        <v>3</v>
      </c>
      <c r="D3">
        <v>0</v>
      </c>
      <c r="E3">
        <v>6</v>
      </c>
      <c r="F3">
        <v>3</v>
      </c>
      <c r="G3">
        <v>6</v>
      </c>
      <c r="H3">
        <v>4</v>
      </c>
      <c r="I3">
        <v>3</v>
      </c>
      <c r="J3">
        <v>4</v>
      </c>
      <c r="K3">
        <v>5</v>
      </c>
      <c r="L3">
        <v>4</v>
      </c>
      <c r="M3">
        <v>0</v>
      </c>
      <c r="N3">
        <v>2</v>
      </c>
      <c r="O3">
        <v>2</v>
      </c>
      <c r="P3">
        <v>1</v>
      </c>
      <c r="Q3">
        <v>0</v>
      </c>
      <c r="R3">
        <v>3</v>
      </c>
      <c r="S3">
        <v>3</v>
      </c>
      <c r="T3">
        <v>1</v>
      </c>
    </row>
    <row r="4" spans="2:20" x14ac:dyDescent="0.2">
      <c r="C4">
        <f>B3+C3</f>
        <v>126</v>
      </c>
      <c r="D4">
        <f t="shared" ref="D4:I4" si="0">C4+D3</f>
        <v>126</v>
      </c>
      <c r="E4">
        <f t="shared" si="0"/>
        <v>132</v>
      </c>
      <c r="F4">
        <f t="shared" si="0"/>
        <v>135</v>
      </c>
      <c r="G4">
        <f t="shared" si="0"/>
        <v>141</v>
      </c>
      <c r="H4">
        <f t="shared" si="0"/>
        <v>145</v>
      </c>
      <c r="I4">
        <f t="shared" si="0"/>
        <v>148</v>
      </c>
      <c r="J4">
        <f t="shared" ref="J4:P4" si="1">I4+J3</f>
        <v>152</v>
      </c>
      <c r="K4">
        <f t="shared" si="1"/>
        <v>157</v>
      </c>
      <c r="L4">
        <f t="shared" si="1"/>
        <v>161</v>
      </c>
      <c r="M4">
        <f t="shared" si="1"/>
        <v>161</v>
      </c>
      <c r="N4">
        <f t="shared" si="1"/>
        <v>163</v>
      </c>
      <c r="O4">
        <f t="shared" si="1"/>
        <v>165</v>
      </c>
      <c r="P4">
        <f t="shared" si="1"/>
        <v>166</v>
      </c>
      <c r="Q4">
        <f t="shared" ref="Q4" si="2">P4+Q3</f>
        <v>166</v>
      </c>
      <c r="R4">
        <f t="shared" ref="R4" si="3">Q4+R3</f>
        <v>169</v>
      </c>
      <c r="S4">
        <f t="shared" ref="S4" si="4">R4+S3</f>
        <v>172</v>
      </c>
      <c r="T4">
        <f t="shared" ref="T4" si="5">S4+T3</f>
        <v>173</v>
      </c>
    </row>
    <row r="6" spans="2:20" x14ac:dyDescent="0.2">
      <c r="C6">
        <f>9.7/60</f>
        <v>0.16166666666666665</v>
      </c>
    </row>
    <row r="9" spans="2:20" x14ac:dyDescent="0.2">
      <c r="C9" s="59">
        <v>2023</v>
      </c>
      <c r="D9" s="60"/>
      <c r="E9" s="60"/>
      <c r="F9" s="60"/>
      <c r="G9" s="60"/>
      <c r="H9" s="60"/>
      <c r="I9" s="60"/>
      <c r="J9" s="60"/>
      <c r="K9" s="60"/>
      <c r="L9" s="60"/>
      <c r="M9" s="60"/>
      <c r="N9" s="61"/>
      <c r="O9" s="62">
        <v>2024</v>
      </c>
      <c r="P9" s="62"/>
      <c r="Q9" s="62"/>
      <c r="R9" s="62"/>
      <c r="S9" s="62"/>
      <c r="T9" s="62"/>
    </row>
    <row r="10" spans="2:20" x14ac:dyDescent="0.2">
      <c r="C10" s="42" t="s">
        <v>74</v>
      </c>
      <c r="D10" s="42" t="s">
        <v>75</v>
      </c>
      <c r="E10" s="42" t="s">
        <v>76</v>
      </c>
      <c r="F10" s="42" t="s">
        <v>77</v>
      </c>
      <c r="G10" s="42" t="s">
        <v>78</v>
      </c>
      <c r="H10" s="42" t="s">
        <v>79</v>
      </c>
      <c r="I10" s="42" t="s">
        <v>80</v>
      </c>
      <c r="J10" s="42" t="s">
        <v>81</v>
      </c>
      <c r="K10" s="42" t="s">
        <v>82</v>
      </c>
      <c r="L10" s="42" t="s">
        <v>71</v>
      </c>
      <c r="M10" s="43" t="s">
        <v>72</v>
      </c>
      <c r="N10" s="42" t="s">
        <v>73</v>
      </c>
      <c r="O10" s="42" t="s">
        <v>74</v>
      </c>
      <c r="P10" s="42" t="s">
        <v>75</v>
      </c>
      <c r="Q10" s="42" t="s">
        <v>76</v>
      </c>
      <c r="R10" s="42" t="s">
        <v>77</v>
      </c>
      <c r="S10" s="42" t="s">
        <v>78</v>
      </c>
      <c r="T10" s="42" t="s">
        <v>79</v>
      </c>
    </row>
    <row r="11" spans="2:20" x14ac:dyDescent="0.2">
      <c r="B11" t="s">
        <v>70</v>
      </c>
      <c r="C11">
        <v>126</v>
      </c>
      <c r="D11">
        <v>126</v>
      </c>
      <c r="E11">
        <v>132</v>
      </c>
      <c r="F11">
        <v>135</v>
      </c>
      <c r="G11">
        <v>141</v>
      </c>
      <c r="H11">
        <v>145</v>
      </c>
      <c r="I11">
        <v>148</v>
      </c>
      <c r="J11">
        <v>152</v>
      </c>
      <c r="K11">
        <v>157</v>
      </c>
      <c r="L11">
        <v>161</v>
      </c>
      <c r="M11">
        <v>161</v>
      </c>
      <c r="N11">
        <v>163</v>
      </c>
      <c r="O11">
        <v>165</v>
      </c>
      <c r="P11">
        <v>166</v>
      </c>
      <c r="Q11">
        <v>166</v>
      </c>
      <c r="R11">
        <v>169</v>
      </c>
      <c r="S11">
        <v>172</v>
      </c>
      <c r="T11">
        <v>173</v>
      </c>
    </row>
    <row r="12" spans="2:20" hidden="1" x14ac:dyDescent="0.2">
      <c r="B12" t="s">
        <v>69</v>
      </c>
      <c r="C12">
        <v>70</v>
      </c>
      <c r="D12">
        <v>73</v>
      </c>
      <c r="E12">
        <v>85</v>
      </c>
      <c r="F12">
        <v>90</v>
      </c>
      <c r="G12">
        <v>100</v>
      </c>
      <c r="H12">
        <v>107</v>
      </c>
      <c r="I12">
        <v>112</v>
      </c>
      <c r="J12">
        <v>118</v>
      </c>
      <c r="K12">
        <v>124</v>
      </c>
      <c r="L12">
        <v>128</v>
      </c>
      <c r="M12">
        <v>110</v>
      </c>
      <c r="N12">
        <v>130</v>
      </c>
      <c r="O12">
        <v>136</v>
      </c>
      <c r="P12">
        <v>141</v>
      </c>
      <c r="Q12">
        <v>142</v>
      </c>
      <c r="R12">
        <v>150</v>
      </c>
      <c r="S12">
        <v>152</v>
      </c>
      <c r="T12">
        <v>153</v>
      </c>
    </row>
    <row r="13" spans="2:20" x14ac:dyDescent="0.2">
      <c r="B13" t="s">
        <v>84</v>
      </c>
      <c r="C13" s="45">
        <f>C12*$C$6</f>
        <v>11.316666666666666</v>
      </c>
      <c r="D13" s="45">
        <f t="shared" ref="D13:T13" si="6">D12*$C$6</f>
        <v>11.801666666666666</v>
      </c>
      <c r="E13" s="45">
        <f t="shared" si="6"/>
        <v>13.741666666666665</v>
      </c>
      <c r="F13" s="45">
        <f t="shared" si="6"/>
        <v>14.549999999999999</v>
      </c>
      <c r="G13" s="45">
        <f t="shared" si="6"/>
        <v>16.166666666666664</v>
      </c>
      <c r="H13" s="45">
        <f t="shared" si="6"/>
        <v>17.298333333333332</v>
      </c>
      <c r="I13" s="45">
        <f t="shared" si="6"/>
        <v>18.106666666666666</v>
      </c>
      <c r="J13" s="45">
        <f t="shared" si="6"/>
        <v>19.076666666666664</v>
      </c>
      <c r="K13" s="45">
        <f t="shared" si="6"/>
        <v>20.046666666666663</v>
      </c>
      <c r="L13" s="45">
        <f t="shared" si="6"/>
        <v>20.693333333333332</v>
      </c>
      <c r="M13" s="45">
        <f>M12*$C$6</f>
        <v>17.783333333333331</v>
      </c>
      <c r="N13" s="45">
        <f t="shared" si="6"/>
        <v>21.016666666666666</v>
      </c>
      <c r="O13" s="45">
        <f t="shared" si="6"/>
        <v>21.986666666666665</v>
      </c>
      <c r="P13" s="45">
        <f t="shared" si="6"/>
        <v>22.794999999999998</v>
      </c>
      <c r="Q13" s="45">
        <f t="shared" si="6"/>
        <v>22.956666666666663</v>
      </c>
      <c r="R13" s="45">
        <f t="shared" si="6"/>
        <v>24.249999999999996</v>
      </c>
      <c r="S13" s="45">
        <f t="shared" si="6"/>
        <v>24.573333333333331</v>
      </c>
      <c r="T13" s="45">
        <f t="shared" si="6"/>
        <v>24.734999999999999</v>
      </c>
    </row>
    <row r="17" spans="19:19" x14ac:dyDescent="0.2">
      <c r="S17" s="44"/>
    </row>
  </sheetData>
  <mergeCells count="4">
    <mergeCell ref="C1:N1"/>
    <mergeCell ref="O1:Q1"/>
    <mergeCell ref="C9:N9"/>
    <mergeCell ref="O9:T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17"/>
  <sheetViews>
    <sheetView showGridLines="0" topLeftCell="A22" zoomScale="80" zoomScaleNormal="80" workbookViewId="0">
      <selection activeCell="J47" sqref="J47"/>
    </sheetView>
  </sheetViews>
  <sheetFormatPr baseColWidth="10" defaultColWidth="8.83203125" defaultRowHeight="15" x14ac:dyDescent="0.2"/>
  <cols>
    <col min="2" max="2" width="28.5" bestFit="1" customWidth="1"/>
  </cols>
  <sheetData>
    <row r="1" spans="2:20" x14ac:dyDescent="0.2">
      <c r="C1" s="58">
        <v>2023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>
        <v>2024</v>
      </c>
      <c r="P1" s="58"/>
      <c r="Q1" s="58"/>
    </row>
    <row r="2" spans="2:20" x14ac:dyDescent="0.2">
      <c r="C2">
        <v>4</v>
      </c>
      <c r="D2">
        <v>5</v>
      </c>
      <c r="E2">
        <v>6</v>
      </c>
      <c r="F2">
        <v>7</v>
      </c>
      <c r="G2">
        <v>8</v>
      </c>
      <c r="H2">
        <v>9</v>
      </c>
      <c r="I2">
        <v>10</v>
      </c>
      <c r="J2">
        <v>11</v>
      </c>
      <c r="K2">
        <v>12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</row>
    <row r="3" spans="2:20" x14ac:dyDescent="0.2">
      <c r="B3">
        <v>123</v>
      </c>
      <c r="C3">
        <v>3</v>
      </c>
      <c r="D3">
        <v>0</v>
      </c>
      <c r="E3">
        <v>6</v>
      </c>
      <c r="F3">
        <v>3</v>
      </c>
      <c r="G3">
        <v>6</v>
      </c>
      <c r="H3">
        <v>4</v>
      </c>
      <c r="I3">
        <v>3</v>
      </c>
      <c r="J3">
        <v>4</v>
      </c>
      <c r="K3">
        <v>5</v>
      </c>
      <c r="L3">
        <v>4</v>
      </c>
      <c r="M3">
        <v>0</v>
      </c>
      <c r="N3">
        <v>2</v>
      </c>
      <c r="O3">
        <v>2</v>
      </c>
      <c r="P3">
        <v>1</v>
      </c>
      <c r="Q3">
        <v>0</v>
      </c>
      <c r="R3">
        <v>3</v>
      </c>
      <c r="S3">
        <v>3</v>
      </c>
      <c r="T3">
        <v>1</v>
      </c>
    </row>
    <row r="4" spans="2:20" x14ac:dyDescent="0.2">
      <c r="C4">
        <f>B3+C3</f>
        <v>126</v>
      </c>
      <c r="D4">
        <f t="shared" ref="D4:T4" si="0">C4+D3</f>
        <v>126</v>
      </c>
      <c r="E4">
        <f t="shared" si="0"/>
        <v>132</v>
      </c>
      <c r="F4">
        <f t="shared" si="0"/>
        <v>135</v>
      </c>
      <c r="G4">
        <f t="shared" si="0"/>
        <v>141</v>
      </c>
      <c r="H4">
        <f t="shared" si="0"/>
        <v>145</v>
      </c>
      <c r="I4">
        <f t="shared" si="0"/>
        <v>148</v>
      </c>
      <c r="J4">
        <f t="shared" si="0"/>
        <v>152</v>
      </c>
      <c r="K4">
        <f t="shared" si="0"/>
        <v>157</v>
      </c>
      <c r="L4">
        <f t="shared" si="0"/>
        <v>161</v>
      </c>
      <c r="M4">
        <f t="shared" si="0"/>
        <v>161</v>
      </c>
      <c r="N4">
        <f t="shared" si="0"/>
        <v>163</v>
      </c>
      <c r="O4">
        <f t="shared" si="0"/>
        <v>165</v>
      </c>
      <c r="P4">
        <f t="shared" si="0"/>
        <v>166</v>
      </c>
      <c r="Q4">
        <f t="shared" si="0"/>
        <v>166</v>
      </c>
      <c r="R4">
        <f t="shared" si="0"/>
        <v>169</v>
      </c>
      <c r="S4">
        <f t="shared" si="0"/>
        <v>172</v>
      </c>
      <c r="T4">
        <f t="shared" si="0"/>
        <v>173</v>
      </c>
    </row>
    <row r="9" spans="2:20" x14ac:dyDescent="0.2">
      <c r="C9" s="59">
        <v>2023</v>
      </c>
      <c r="D9" s="60"/>
      <c r="E9" s="60"/>
      <c r="F9" s="60"/>
      <c r="G9" s="60"/>
      <c r="H9" s="60"/>
      <c r="I9" s="60"/>
      <c r="J9" s="60"/>
      <c r="K9" s="60"/>
      <c r="L9" s="60"/>
      <c r="M9" s="60"/>
      <c r="N9" s="61"/>
      <c r="O9" s="62">
        <v>2024</v>
      </c>
      <c r="P9" s="62"/>
      <c r="Q9" s="62"/>
      <c r="R9" s="62"/>
      <c r="S9" s="62"/>
      <c r="T9" s="62"/>
    </row>
    <row r="10" spans="2:20" x14ac:dyDescent="0.2">
      <c r="C10" s="42" t="s">
        <v>74</v>
      </c>
      <c r="D10" s="42" t="s">
        <v>75</v>
      </c>
      <c r="E10" s="42" t="s">
        <v>76</v>
      </c>
      <c r="F10" s="42" t="s">
        <v>77</v>
      </c>
      <c r="G10" s="42" t="s">
        <v>78</v>
      </c>
      <c r="H10" s="42" t="s">
        <v>79</v>
      </c>
      <c r="I10" s="42" t="s">
        <v>80</v>
      </c>
      <c r="J10" s="42" t="s">
        <v>81</v>
      </c>
      <c r="K10" s="42" t="s">
        <v>82</v>
      </c>
      <c r="L10" s="42" t="s">
        <v>71</v>
      </c>
      <c r="M10" s="43" t="s">
        <v>72</v>
      </c>
      <c r="N10" s="42" t="s">
        <v>73</v>
      </c>
      <c r="O10" s="42" t="s">
        <v>74</v>
      </c>
      <c r="P10" s="42" t="s">
        <v>75</v>
      </c>
      <c r="Q10" s="42" t="s">
        <v>76</v>
      </c>
      <c r="R10" s="42" t="s">
        <v>77</v>
      </c>
      <c r="S10" s="42" t="s">
        <v>78</v>
      </c>
      <c r="T10" s="42" t="s">
        <v>79</v>
      </c>
    </row>
    <row r="11" spans="2:20" x14ac:dyDescent="0.2">
      <c r="B11" t="s">
        <v>70</v>
      </c>
      <c r="C11">
        <v>126</v>
      </c>
      <c r="D11">
        <v>126</v>
      </c>
      <c r="E11">
        <v>132</v>
      </c>
      <c r="F11">
        <v>135</v>
      </c>
      <c r="G11">
        <v>141</v>
      </c>
      <c r="H11">
        <v>145</v>
      </c>
      <c r="I11">
        <v>148</v>
      </c>
      <c r="J11">
        <v>152</v>
      </c>
      <c r="K11">
        <v>157</v>
      </c>
      <c r="L11">
        <v>161</v>
      </c>
      <c r="M11">
        <v>161</v>
      </c>
      <c r="N11">
        <v>163</v>
      </c>
      <c r="O11">
        <v>165</v>
      </c>
      <c r="P11">
        <v>166</v>
      </c>
      <c r="Q11">
        <v>170</v>
      </c>
      <c r="R11">
        <v>176</v>
      </c>
      <c r="S11">
        <v>183</v>
      </c>
      <c r="T11">
        <v>190</v>
      </c>
    </row>
    <row r="12" spans="2:20" hidden="1" x14ac:dyDescent="0.2">
      <c r="B12" t="s">
        <v>69</v>
      </c>
      <c r="C12">
        <v>70</v>
      </c>
      <c r="D12">
        <v>73</v>
      </c>
      <c r="E12">
        <v>85</v>
      </c>
      <c r="F12">
        <v>90</v>
      </c>
      <c r="G12">
        <v>100</v>
      </c>
      <c r="H12">
        <v>107</v>
      </c>
      <c r="I12">
        <v>112</v>
      </c>
      <c r="J12">
        <v>118</v>
      </c>
      <c r="K12">
        <v>124</v>
      </c>
      <c r="L12">
        <v>128</v>
      </c>
      <c r="M12">
        <v>110</v>
      </c>
      <c r="N12">
        <v>130</v>
      </c>
      <c r="O12">
        <v>136</v>
      </c>
      <c r="P12">
        <v>141</v>
      </c>
      <c r="Q12">
        <v>142</v>
      </c>
      <c r="R12">
        <v>150</v>
      </c>
      <c r="S12">
        <v>152</v>
      </c>
      <c r="T12">
        <v>153</v>
      </c>
    </row>
    <row r="13" spans="2:20" x14ac:dyDescent="0.2">
      <c r="B13" t="s">
        <v>84</v>
      </c>
      <c r="C13" s="45">
        <f>SUM('Topic 1'!$G$60:$G$64) + SUM('Topic 1'!$G$65:$G$68)*'Sheet1 (2)'!C12</f>
        <v>36.700000000000003</v>
      </c>
      <c r="D13" s="45">
        <f>SUM('Topic 1'!$G$60:$G$64) + SUM('Topic 1'!$G$65:$G$68)*'Sheet1 (2)'!D12</f>
        <v>37.599999999999994</v>
      </c>
      <c r="E13" s="45">
        <f>SUM('Topic 1'!$G$60:$G$64) + SUM('Topic 1'!$G$65:$G$68)*'Sheet1 (2)'!E12</f>
        <v>41.2</v>
      </c>
      <c r="F13" s="45">
        <f>SUM('Topic 1'!$G$60:$G$64) + SUM('Topic 1'!$G$65:$G$68)*'Sheet1 (2)'!F12</f>
        <v>42.7</v>
      </c>
      <c r="G13" s="45">
        <f>SUM('Topic 1'!$G$60:$G$64) + SUM('Topic 1'!$G$65:$G$68)*'Sheet1 (2)'!G12</f>
        <v>45.7</v>
      </c>
      <c r="H13" s="45">
        <f>SUM('Topic 1'!$G$60:$G$64) + SUM('Topic 1'!$G$65:$G$68)*'Sheet1 (2)'!H12</f>
        <v>47.8</v>
      </c>
      <c r="I13" s="45">
        <f>SUM('Topic 1'!$G$60:$G$64) + SUM('Topic 1'!$G$65:$G$68)*'Sheet1 (2)'!I12</f>
        <v>49.3</v>
      </c>
      <c r="J13" s="45">
        <f>SUM('Topic 1'!$G$60:$G$64) + SUM('Topic 1'!$G$65:$G$68)*'Sheet1 (2)'!J12</f>
        <v>51.099999999999994</v>
      </c>
      <c r="K13" s="45">
        <f>SUM('Topic 1'!$G$60:$G$64) + SUM('Topic 1'!$G$65:$G$68)*'Sheet1 (2)'!K12</f>
        <v>52.899999999999991</v>
      </c>
      <c r="L13" s="45">
        <f>SUM('Topic 1'!$G$60:$G$64) + SUM('Topic 1'!$G$65:$G$68)*'Sheet1 (2)'!L12</f>
        <v>54.099999999999994</v>
      </c>
      <c r="M13" s="45">
        <f>SUM('Topic 1'!$G$60:$G$64) + SUM('Topic 1'!$G$65:$G$68)*'Sheet1 (2)'!M12</f>
        <v>48.7</v>
      </c>
      <c r="N13" s="45">
        <f>SUM('Topic 1'!$G$60:$G$64) + SUM('Topic 1'!$G$65:$G$68)*'Sheet1 (2)'!N12</f>
        <v>54.7</v>
      </c>
      <c r="O13" s="45">
        <f>SUM('Topic 1'!$G$60:$G$64) + SUM('Topic 1'!$G$65:$G$68)*'Sheet1 (2)'!O12</f>
        <v>56.5</v>
      </c>
      <c r="P13" s="45">
        <f>SUM('Topic 1'!$G$60:$G$64) + SUM('Topic 1'!$G$65:$G$68)*'Sheet1 (2)'!P12</f>
        <v>58</v>
      </c>
      <c r="Q13" s="45">
        <f>SUM('Topic 1'!$G$60:$G$64) + SUM('Topic 1'!$G$65:$G$68)*'Sheet1 (2)'!Q12</f>
        <v>58.3</v>
      </c>
      <c r="R13" s="45">
        <f>SUM('Topic 1'!$G$60:$G$64) + SUM('Topic 1'!$G$65:$G$68)*'Sheet1 (2)'!R12</f>
        <v>60.7</v>
      </c>
      <c r="S13" s="45">
        <f>SUM('Topic 1'!$G$60:$G$64) + SUM('Topic 1'!$G$65:$G$68)*'Sheet1 (2)'!S12</f>
        <v>61.3</v>
      </c>
      <c r="T13" s="45">
        <f>SUM('Topic 1'!$G$60:$G$64) + SUM('Topic 1'!$G$65:$G$68)*'Sheet1 (2)'!T12</f>
        <v>61.599999999999994</v>
      </c>
    </row>
    <row r="17" spans="19:19" x14ac:dyDescent="0.2">
      <c r="S17" s="44"/>
    </row>
  </sheetData>
  <mergeCells count="4">
    <mergeCell ref="C1:N1"/>
    <mergeCell ref="O1:Q1"/>
    <mergeCell ref="C9:N9"/>
    <mergeCell ref="O9:T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W68"/>
  <sheetViews>
    <sheetView topLeftCell="A24" zoomScaleNormal="100" workbookViewId="0">
      <selection activeCell="N42" sqref="N42"/>
    </sheetView>
  </sheetViews>
  <sheetFormatPr baseColWidth="10" defaultColWidth="9.1640625" defaultRowHeight="15" x14ac:dyDescent="0.2"/>
  <cols>
    <col min="1" max="1" width="6.5" style="1" customWidth="1"/>
    <col min="2" max="2" width="11.33203125" style="1" customWidth="1"/>
    <col min="3" max="5" width="8.83203125" style="1" customWidth="1"/>
    <col min="6" max="6" width="12.6640625" style="1" bestFit="1" customWidth="1"/>
    <col min="7" max="7" width="15.6640625" style="1" bestFit="1" customWidth="1"/>
    <col min="8" max="8" width="28.1640625" style="1" bestFit="1" customWidth="1"/>
    <col min="9" max="9" width="12.1640625" style="1" bestFit="1" customWidth="1"/>
    <col min="10" max="23" width="8.83203125" style="1" customWidth="1"/>
    <col min="24" max="28" width="9.1640625" style="1"/>
    <col min="29" max="29" width="10.83203125" style="1" bestFit="1" customWidth="1"/>
    <col min="30" max="16384" width="9.1640625" style="1"/>
  </cols>
  <sheetData>
    <row r="2" spans="1:23" ht="19" x14ac:dyDescent="0.2">
      <c r="B2" s="24" t="s">
        <v>32</v>
      </c>
      <c r="L2" s="1" t="s">
        <v>31</v>
      </c>
    </row>
    <row r="4" spans="1:23" x14ac:dyDescent="0.2">
      <c r="B4" s="2" t="s">
        <v>27</v>
      </c>
    </row>
    <row r="5" spans="1:23" x14ac:dyDescent="0.2">
      <c r="B5" s="2"/>
    </row>
    <row r="6" spans="1:23" x14ac:dyDescent="0.2">
      <c r="B6" s="63" t="s">
        <v>16</v>
      </c>
      <c r="C6" s="64"/>
      <c r="D6" s="64"/>
      <c r="E6" s="64"/>
      <c r="F6" s="64"/>
      <c r="G6" s="64"/>
      <c r="H6" s="64"/>
      <c r="I6" s="64"/>
      <c r="J6" s="64"/>
      <c r="K6" s="64"/>
      <c r="L6" s="65"/>
      <c r="M6" s="63" t="s">
        <v>17</v>
      </c>
      <c r="N6" s="64"/>
      <c r="O6" s="64"/>
      <c r="P6" s="64"/>
      <c r="Q6" s="64"/>
      <c r="R6" s="64"/>
      <c r="S6" s="64"/>
      <c r="T6" s="64"/>
      <c r="U6" s="64"/>
      <c r="V6" s="64"/>
      <c r="W6" s="65"/>
    </row>
    <row r="7" spans="1:23" x14ac:dyDescent="0.2">
      <c r="B7" s="63" t="s">
        <v>18</v>
      </c>
      <c r="C7" s="64"/>
      <c r="D7" s="64"/>
      <c r="E7" s="64"/>
      <c r="F7" s="64"/>
      <c r="G7" s="64"/>
      <c r="H7" s="64"/>
      <c r="I7" s="64"/>
      <c r="J7" s="64"/>
      <c r="K7" s="65"/>
      <c r="L7" s="3" t="s">
        <v>19</v>
      </c>
      <c r="M7" s="66" t="s">
        <v>18</v>
      </c>
      <c r="N7" s="67"/>
      <c r="O7" s="67"/>
      <c r="P7" s="67"/>
      <c r="Q7" s="67"/>
      <c r="R7" s="67"/>
      <c r="S7" s="67"/>
      <c r="T7" s="67"/>
      <c r="U7" s="67"/>
      <c r="V7" s="68"/>
      <c r="W7" s="25" t="s">
        <v>19</v>
      </c>
    </row>
    <row r="8" spans="1:23" x14ac:dyDescent="0.2">
      <c r="A8" s="4"/>
      <c r="B8" s="6" t="s">
        <v>33</v>
      </c>
      <c r="C8" s="7"/>
      <c r="D8" s="7"/>
      <c r="E8" s="7"/>
      <c r="F8" s="7"/>
      <c r="G8" s="7"/>
      <c r="H8" s="7"/>
      <c r="I8" s="7"/>
      <c r="J8" s="27"/>
      <c r="K8" s="27"/>
      <c r="L8" s="8">
        <v>8</v>
      </c>
      <c r="M8" s="9" t="s">
        <v>34</v>
      </c>
      <c r="N8" s="7"/>
      <c r="O8" s="7"/>
      <c r="P8" s="7"/>
      <c r="Q8" s="7"/>
      <c r="R8" s="7"/>
      <c r="S8" s="7"/>
      <c r="T8" s="7"/>
      <c r="U8" s="7"/>
      <c r="V8" s="7"/>
      <c r="W8" s="8">
        <v>1</v>
      </c>
    </row>
    <row r="9" spans="1:23" x14ac:dyDescent="0.2">
      <c r="A9" s="4"/>
      <c r="B9" s="30"/>
      <c r="C9" s="12"/>
      <c r="D9" s="12"/>
      <c r="E9" s="12"/>
      <c r="F9" s="12"/>
      <c r="G9" s="12"/>
      <c r="H9" s="12"/>
      <c r="I9" s="12"/>
      <c r="J9" s="31"/>
      <c r="K9" s="33"/>
      <c r="L9" s="26"/>
      <c r="M9" s="30"/>
      <c r="N9" s="12"/>
      <c r="O9" s="12"/>
      <c r="P9" s="12"/>
      <c r="Q9" s="12"/>
      <c r="R9" s="12"/>
      <c r="S9" s="12"/>
      <c r="T9" s="12"/>
      <c r="U9" s="12"/>
      <c r="V9" s="12"/>
      <c r="W9" s="26"/>
    </row>
    <row r="10" spans="1:23" x14ac:dyDescent="0.2">
      <c r="A10" s="4"/>
      <c r="B10" s="2" t="s">
        <v>35</v>
      </c>
      <c r="L10" s="8">
        <v>3</v>
      </c>
      <c r="M10" s="9" t="s">
        <v>36</v>
      </c>
      <c r="N10" s="7"/>
      <c r="O10" s="7"/>
      <c r="P10" s="7"/>
      <c r="Q10" s="7"/>
      <c r="R10" s="7"/>
      <c r="S10" s="7"/>
      <c r="T10" s="7"/>
      <c r="U10" s="7"/>
      <c r="V10" s="7"/>
      <c r="W10" s="8">
        <v>3</v>
      </c>
    </row>
    <row r="11" spans="1:23" x14ac:dyDescent="0.2">
      <c r="A11" s="4"/>
      <c r="L11" s="10"/>
      <c r="M11" s="11"/>
      <c r="W11" s="10"/>
    </row>
    <row r="12" spans="1:23" ht="14.5" customHeight="1" x14ac:dyDescent="0.2">
      <c r="B12" s="9" t="s">
        <v>37</v>
      </c>
      <c r="C12" s="7"/>
      <c r="D12" s="7"/>
      <c r="E12" s="7"/>
      <c r="F12" s="7"/>
      <c r="G12" s="7"/>
      <c r="H12" s="7"/>
      <c r="I12" s="7"/>
      <c r="J12" s="27"/>
      <c r="K12" s="27"/>
      <c r="L12" s="8">
        <v>5</v>
      </c>
      <c r="M12" s="9" t="s">
        <v>38</v>
      </c>
      <c r="N12" s="7"/>
      <c r="O12" s="7"/>
      <c r="P12" s="7"/>
      <c r="Q12" s="7"/>
      <c r="R12" s="7"/>
      <c r="S12" s="7"/>
      <c r="T12" s="7"/>
      <c r="U12" s="7"/>
      <c r="V12" s="7"/>
      <c r="W12" s="8">
        <v>5.15</v>
      </c>
    </row>
    <row r="13" spans="1:23" ht="14.5" customHeight="1" x14ac:dyDescent="0.2">
      <c r="B13" s="30"/>
      <c r="C13" s="12"/>
      <c r="D13" s="12"/>
      <c r="E13" s="12"/>
      <c r="F13" s="12"/>
      <c r="G13" s="12"/>
      <c r="H13" s="12"/>
      <c r="I13" s="12"/>
      <c r="J13" s="31"/>
      <c r="K13" s="31"/>
      <c r="L13" s="26"/>
      <c r="M13" s="30"/>
      <c r="N13" s="12"/>
      <c r="O13" s="12"/>
      <c r="P13" s="12"/>
      <c r="Q13" s="12"/>
      <c r="R13" s="12"/>
      <c r="S13" s="12"/>
      <c r="T13" s="12"/>
      <c r="U13" s="12"/>
      <c r="V13" s="12"/>
      <c r="W13" s="26"/>
    </row>
    <row r="14" spans="1:23" ht="14.5" customHeight="1" x14ac:dyDescent="0.2">
      <c r="B14" s="11" t="s">
        <v>65</v>
      </c>
      <c r="J14" s="28"/>
      <c r="K14" s="28"/>
      <c r="L14" s="29">
        <v>3</v>
      </c>
      <c r="M14" s="11" t="s">
        <v>39</v>
      </c>
      <c r="W14" s="29">
        <v>0</v>
      </c>
    </row>
    <row r="15" spans="1:23" ht="14.5" customHeight="1" x14ac:dyDescent="0.2">
      <c r="B15" s="11"/>
      <c r="J15" s="28"/>
      <c r="K15" s="28"/>
      <c r="L15" s="26"/>
      <c r="M15" s="11"/>
      <c r="W15" s="26"/>
    </row>
    <row r="16" spans="1:23" ht="14.5" customHeight="1" x14ac:dyDescent="0.2">
      <c r="B16" s="13" t="s">
        <v>20</v>
      </c>
      <c r="C16" s="14"/>
      <c r="D16" s="14"/>
      <c r="E16" s="14"/>
      <c r="F16" s="14"/>
      <c r="G16" s="14"/>
      <c r="H16" s="14"/>
      <c r="I16" s="14"/>
      <c r="J16" s="5"/>
      <c r="K16" s="5"/>
      <c r="L16" s="15">
        <f>SUM(L8:L15)</f>
        <v>19</v>
      </c>
      <c r="M16" s="13" t="s">
        <v>20</v>
      </c>
      <c r="N16" s="14"/>
      <c r="O16" s="14"/>
      <c r="P16" s="14"/>
      <c r="Q16" s="14"/>
      <c r="R16" s="14"/>
      <c r="S16" s="14"/>
      <c r="T16" s="14"/>
      <c r="U16" s="14"/>
      <c r="V16" s="14"/>
      <c r="W16" s="15">
        <f>SUM(W8:W15)</f>
        <v>9.15</v>
      </c>
    </row>
    <row r="18" spans="2:22" x14ac:dyDescent="0.2">
      <c r="B18" s="16" t="s">
        <v>3</v>
      </c>
    </row>
    <row r="19" spans="2:22" x14ac:dyDescent="0.2">
      <c r="B19" s="16" t="s">
        <v>22</v>
      </c>
      <c r="F19" s="1">
        <f>96+54</f>
        <v>150</v>
      </c>
      <c r="G19" s="1" t="s">
        <v>23</v>
      </c>
      <c r="H19" s="1" t="s">
        <v>68</v>
      </c>
    </row>
    <row r="20" spans="2:22" x14ac:dyDescent="0.2">
      <c r="B20" s="16" t="s">
        <v>25</v>
      </c>
      <c r="F20" s="1">
        <f>L16-W16</f>
        <v>9.85</v>
      </c>
      <c r="G20" s="1" t="s">
        <v>24</v>
      </c>
      <c r="H20" s="1">
        <f>F20*F19</f>
        <v>1477.5</v>
      </c>
      <c r="I20" s="1" t="s">
        <v>26</v>
      </c>
    </row>
    <row r="21" spans="2:22" x14ac:dyDescent="0.2">
      <c r="B21" s="16" t="s">
        <v>21</v>
      </c>
      <c r="F21" s="1">
        <f>(H20/60)*H21</f>
        <v>4063.125</v>
      </c>
      <c r="G21" s="1" t="s">
        <v>29</v>
      </c>
      <c r="H21" s="1">
        <v>165</v>
      </c>
      <c r="I21" s="19" t="s">
        <v>28</v>
      </c>
    </row>
    <row r="22" spans="2:22" x14ac:dyDescent="0.2">
      <c r="B22" s="16"/>
      <c r="F22" s="1">
        <f>F21/1000</f>
        <v>4.0631250000000003</v>
      </c>
      <c r="G22" s="1" t="s">
        <v>30</v>
      </c>
    </row>
    <row r="23" spans="2:22" ht="15.75" customHeight="1" x14ac:dyDescent="0.2">
      <c r="C23" s="23"/>
      <c r="D23" s="23"/>
      <c r="E23" s="23"/>
      <c r="F23" s="23"/>
      <c r="G23" s="23"/>
      <c r="H23" s="23"/>
      <c r="I23" s="23"/>
      <c r="J23" s="23"/>
      <c r="K23" s="23"/>
      <c r="R23" s="1">
        <v>442.06670000000003</v>
      </c>
    </row>
    <row r="24" spans="2:22" x14ac:dyDescent="0.2">
      <c r="B24" s="18"/>
      <c r="C24" s="22" t="s">
        <v>8</v>
      </c>
      <c r="D24" s="20" t="s">
        <v>9</v>
      </c>
      <c r="E24" s="20" t="s">
        <v>10</v>
      </c>
      <c r="F24" s="20" t="s">
        <v>11</v>
      </c>
      <c r="G24" s="20" t="s">
        <v>12</v>
      </c>
      <c r="H24" s="21" t="s">
        <v>13</v>
      </c>
      <c r="I24" s="21" t="s">
        <v>14</v>
      </c>
      <c r="J24" s="21" t="s">
        <v>15</v>
      </c>
      <c r="K24" s="21" t="s">
        <v>4</v>
      </c>
      <c r="L24" s="21" t="s">
        <v>5</v>
      </c>
      <c r="M24" s="20" t="s">
        <v>6</v>
      </c>
      <c r="N24" s="20" t="s">
        <v>7</v>
      </c>
      <c r="R24" s="1">
        <f xml:space="preserve"> 7*12</f>
        <v>84</v>
      </c>
      <c r="V24" s="46"/>
    </row>
    <row r="25" spans="2:22" x14ac:dyDescent="0.2">
      <c r="B25" s="17" t="s">
        <v>1</v>
      </c>
      <c r="C25" s="32">
        <f>$F$22</f>
        <v>4.0631250000000003</v>
      </c>
      <c r="D25" s="32">
        <f t="shared" ref="D25:N25" si="0">$F$22</f>
        <v>4.0631250000000003</v>
      </c>
      <c r="E25" s="32">
        <f t="shared" si="0"/>
        <v>4.0631250000000003</v>
      </c>
      <c r="F25" s="32">
        <f t="shared" si="0"/>
        <v>4.0631250000000003</v>
      </c>
      <c r="G25" s="32">
        <f t="shared" si="0"/>
        <v>4.0631250000000003</v>
      </c>
      <c r="H25" s="32">
        <f t="shared" si="0"/>
        <v>4.0631250000000003</v>
      </c>
      <c r="I25" s="32">
        <f t="shared" si="0"/>
        <v>4.0631250000000003</v>
      </c>
      <c r="J25" s="32">
        <f t="shared" si="0"/>
        <v>4.0631250000000003</v>
      </c>
      <c r="K25" s="32">
        <f t="shared" si="0"/>
        <v>4.0631250000000003</v>
      </c>
      <c r="L25" s="32">
        <f t="shared" si="0"/>
        <v>4.0631250000000003</v>
      </c>
      <c r="M25" s="32">
        <f t="shared" si="0"/>
        <v>4.0631250000000003</v>
      </c>
      <c r="N25" s="32">
        <f t="shared" si="0"/>
        <v>4.0631250000000003</v>
      </c>
      <c r="R25" s="1">
        <f>SUM(R23:R24)</f>
        <v>526.06670000000008</v>
      </c>
    </row>
    <row r="26" spans="2:22" x14ac:dyDescent="0.2">
      <c r="B26" s="18" t="s">
        <v>2</v>
      </c>
      <c r="C26" s="20" t="s">
        <v>0</v>
      </c>
      <c r="D26" s="20" t="s">
        <v>0</v>
      </c>
      <c r="E26" s="20" t="s">
        <v>0</v>
      </c>
      <c r="F26" s="20" t="s">
        <v>0</v>
      </c>
      <c r="G26" s="20" t="s">
        <v>0</v>
      </c>
      <c r="H26" s="20" t="s">
        <v>0</v>
      </c>
      <c r="I26" s="20" t="s">
        <v>0</v>
      </c>
      <c r="J26" s="20" t="s">
        <v>0</v>
      </c>
      <c r="K26" s="20" t="s">
        <v>0</v>
      </c>
      <c r="L26" s="20" t="s">
        <v>0</v>
      </c>
      <c r="M26" s="20" t="s">
        <v>0</v>
      </c>
      <c r="N26" s="20" t="s">
        <v>0</v>
      </c>
    </row>
    <row r="27" spans="2:22" x14ac:dyDescent="0.2">
      <c r="C27" s="2"/>
      <c r="D27" s="2"/>
      <c r="E27" s="2"/>
      <c r="F27" s="2"/>
      <c r="G27" s="2"/>
      <c r="H27" s="2"/>
      <c r="I27" s="2"/>
      <c r="J27" s="2"/>
      <c r="K27" s="2"/>
      <c r="L27" s="19"/>
    </row>
    <row r="29" spans="2:22" x14ac:dyDescent="0.2">
      <c r="E29" s="36" t="s">
        <v>56</v>
      </c>
      <c r="F29" s="37">
        <f>F19*F20/60</f>
        <v>24.625</v>
      </c>
      <c r="G29" s="38" t="s">
        <v>57</v>
      </c>
      <c r="P29" s="1" t="s">
        <v>83</v>
      </c>
      <c r="Q29" s="1">
        <v>11</v>
      </c>
    </row>
    <row r="30" spans="2:22" x14ac:dyDescent="0.2">
      <c r="E30" s="40" t="s">
        <v>60</v>
      </c>
      <c r="F30" s="1">
        <v>5</v>
      </c>
      <c r="G30" s="1" t="s">
        <v>57</v>
      </c>
    </row>
    <row r="31" spans="2:22" x14ac:dyDescent="0.2">
      <c r="E31" s="1" t="s">
        <v>61</v>
      </c>
      <c r="F31" s="1">
        <f>7/60*3*24</f>
        <v>8.3999999999999986</v>
      </c>
      <c r="G31" s="1" t="s">
        <v>57</v>
      </c>
    </row>
    <row r="32" spans="2:22" x14ac:dyDescent="0.2">
      <c r="E32" s="34" t="s">
        <v>66</v>
      </c>
      <c r="F32" s="41">
        <v>4</v>
      </c>
      <c r="G32" s="1" t="s">
        <v>67</v>
      </c>
    </row>
    <row r="33" spans="5:16" x14ac:dyDescent="0.2">
      <c r="E33" s="1" t="s">
        <v>62</v>
      </c>
      <c r="H33" s="1">
        <v>140</v>
      </c>
    </row>
    <row r="34" spans="5:16" x14ac:dyDescent="0.2">
      <c r="E34" s="1" t="s">
        <v>63</v>
      </c>
      <c r="H34" s="1">
        <v>140</v>
      </c>
      <c r="P34" s="1" t="s">
        <v>97</v>
      </c>
    </row>
    <row r="35" spans="5:16" x14ac:dyDescent="0.2">
      <c r="E35" s="1" t="s">
        <v>64</v>
      </c>
      <c r="H35" s="1">
        <f>H34*2</f>
        <v>280</v>
      </c>
    </row>
    <row r="36" spans="5:16" x14ac:dyDescent="0.2">
      <c r="H36" s="1">
        <f>SUM(H33:H35)</f>
        <v>560</v>
      </c>
      <c r="I36" s="1">
        <f>8/60*H36</f>
        <v>74.666666666666671</v>
      </c>
      <c r="J36" s="1">
        <f>F29*12</f>
        <v>295.5</v>
      </c>
      <c r="K36" s="1">
        <f>F31*12</f>
        <v>100.79999999999998</v>
      </c>
      <c r="L36" s="1">
        <f>SUM(I36:K36)</f>
        <v>470.9666666666667</v>
      </c>
    </row>
    <row r="42" spans="5:16" x14ac:dyDescent="0.2">
      <c r="H42" s="1" t="s">
        <v>88</v>
      </c>
      <c r="I42" s="1" t="s">
        <v>89</v>
      </c>
      <c r="N42" s="41"/>
    </row>
    <row r="43" spans="5:16" x14ac:dyDescent="0.2">
      <c r="F43" s="1" t="s">
        <v>87</v>
      </c>
      <c r="G43" s="35" t="s">
        <v>90</v>
      </c>
      <c r="H43" s="47">
        <f>8/60*150</f>
        <v>20</v>
      </c>
      <c r="I43" s="38">
        <f>1/60*F19</f>
        <v>2.5</v>
      </c>
      <c r="J43" s="41">
        <f>H43-I43</f>
        <v>17.5</v>
      </c>
      <c r="P43" s="35"/>
    </row>
    <row r="44" spans="5:16" x14ac:dyDescent="0.2">
      <c r="G44" s="1" t="s">
        <v>62</v>
      </c>
      <c r="H44" s="41">
        <f>(H33/12)*(8/60)</f>
        <v>1.5555555555555554</v>
      </c>
      <c r="I44" s="41">
        <f>(H33/12)*(1/60)</f>
        <v>0.19444444444444442</v>
      </c>
      <c r="J44" s="41">
        <f t="shared" ref="J44:J46" si="1">H44-I44</f>
        <v>1.3611111111111109</v>
      </c>
      <c r="P44" s="35"/>
    </row>
    <row r="45" spans="5:16" x14ac:dyDescent="0.2">
      <c r="G45" s="1" t="s">
        <v>91</v>
      </c>
      <c r="H45" s="41">
        <f>(H34/12)*(8/60)</f>
        <v>1.5555555555555554</v>
      </c>
      <c r="I45" s="41">
        <f>(H34/12)*(1/60)</f>
        <v>0.19444444444444442</v>
      </c>
      <c r="J45" s="41">
        <f t="shared" si="1"/>
        <v>1.3611111111111109</v>
      </c>
      <c r="P45" s="35"/>
    </row>
    <row r="46" spans="5:16" x14ac:dyDescent="0.2">
      <c r="G46" s="1" t="s">
        <v>92</v>
      </c>
      <c r="H46" s="41">
        <f>(H35/12)*(8/60)</f>
        <v>3.1111111111111107</v>
      </c>
      <c r="I46" s="41">
        <f>(H35/12)*(1/60)</f>
        <v>0.38888888888888884</v>
      </c>
      <c r="J46" s="41">
        <f t="shared" si="1"/>
        <v>2.7222222222222219</v>
      </c>
    </row>
    <row r="47" spans="5:16" x14ac:dyDescent="0.2">
      <c r="F47" s="1" t="s">
        <v>93</v>
      </c>
      <c r="H47" s="1">
        <f>3/60*F19</f>
        <v>7.5</v>
      </c>
      <c r="I47" s="1">
        <v>7.5</v>
      </c>
    </row>
    <row r="48" spans="5:16" x14ac:dyDescent="0.2">
      <c r="F48" s="1" t="s">
        <v>94</v>
      </c>
      <c r="H48" s="38">
        <f>3/60*F19 + F31</f>
        <v>15.899999999999999</v>
      </c>
      <c r="I48" s="1">
        <f>0</f>
        <v>0</v>
      </c>
    </row>
    <row r="49" spans="6:11" x14ac:dyDescent="0.2">
      <c r="F49" s="1" t="s">
        <v>95</v>
      </c>
      <c r="H49" s="1">
        <f>4/60*F19</f>
        <v>10</v>
      </c>
      <c r="I49" s="1">
        <v>10</v>
      </c>
    </row>
    <row r="50" spans="6:11" x14ac:dyDescent="0.2">
      <c r="F50" s="1" t="s">
        <v>83</v>
      </c>
      <c r="H50" s="1">
        <v>1</v>
      </c>
      <c r="I50" s="1">
        <v>1</v>
      </c>
    </row>
    <row r="51" spans="6:11" x14ac:dyDescent="0.2">
      <c r="F51" s="1" t="s">
        <v>96</v>
      </c>
      <c r="H51" s="41">
        <f>SUM(H43:H50)</f>
        <v>60.622222222222227</v>
      </c>
      <c r="I51" s="41">
        <f>SUM(I43:I50)</f>
        <v>21.777777777777779</v>
      </c>
    </row>
    <row r="54" spans="6:11" x14ac:dyDescent="0.2">
      <c r="I54" s="46"/>
    </row>
    <row r="55" spans="6:11" x14ac:dyDescent="0.2">
      <c r="I55" s="41">
        <f>H51-I51</f>
        <v>38.844444444444449</v>
      </c>
      <c r="K55" s="1">
        <f>I55*12</f>
        <v>466.13333333333338</v>
      </c>
    </row>
    <row r="58" spans="6:11" x14ac:dyDescent="0.2">
      <c r="G58" s="51"/>
    </row>
    <row r="60" spans="6:11" x14ac:dyDescent="0.2">
      <c r="F60" s="1" t="s">
        <v>62</v>
      </c>
      <c r="G60" s="1">
        <v>1.6</v>
      </c>
    </row>
    <row r="61" spans="6:11" x14ac:dyDescent="0.2">
      <c r="F61" s="1" t="s">
        <v>91</v>
      </c>
      <c r="G61" s="1">
        <v>1.6</v>
      </c>
      <c r="I61" s="1" t="s">
        <v>107</v>
      </c>
      <c r="J61" s="1">
        <v>150</v>
      </c>
    </row>
    <row r="62" spans="6:11" x14ac:dyDescent="0.2">
      <c r="F62" s="1" t="s">
        <v>92</v>
      </c>
      <c r="G62" s="1">
        <v>3.1</v>
      </c>
    </row>
    <row r="63" spans="6:11" x14ac:dyDescent="0.2">
      <c r="F63" s="1" t="s">
        <v>61</v>
      </c>
      <c r="G63" s="1">
        <f>7/60*3*24</f>
        <v>8.3999999999999986</v>
      </c>
    </row>
    <row r="64" spans="6:11" x14ac:dyDescent="0.2">
      <c r="F64" s="1" t="s">
        <v>105</v>
      </c>
      <c r="G64" s="1">
        <v>1</v>
      </c>
    </row>
    <row r="65" spans="6:10" x14ac:dyDescent="0.2">
      <c r="F65" s="1" t="s">
        <v>102</v>
      </c>
      <c r="G65" s="51">
        <f>8/60</f>
        <v>0.13333333333333333</v>
      </c>
    </row>
    <row r="66" spans="6:10" x14ac:dyDescent="0.2">
      <c r="F66" s="1" t="s">
        <v>103</v>
      </c>
      <c r="G66" s="1">
        <f>3/60</f>
        <v>0.05</v>
      </c>
    </row>
    <row r="67" spans="6:10" x14ac:dyDescent="0.2">
      <c r="F67" s="1" t="s">
        <v>104</v>
      </c>
      <c r="G67" s="1">
        <f>3/60</f>
        <v>0.05</v>
      </c>
      <c r="I67" s="1" t="s">
        <v>108</v>
      </c>
      <c r="J67" s="1">
        <f>SUM(G59:G64) + J61*SUM(G65:G68)</f>
        <v>60.7</v>
      </c>
    </row>
    <row r="68" spans="6:10" x14ac:dyDescent="0.2">
      <c r="F68" s="1" t="s">
        <v>106</v>
      </c>
      <c r="G68" s="51">
        <f>4/60</f>
        <v>6.6666666666666666E-2</v>
      </c>
    </row>
  </sheetData>
  <mergeCells count="4">
    <mergeCell ref="B7:K7"/>
    <mergeCell ref="M7:V7"/>
    <mergeCell ref="B6:L6"/>
    <mergeCell ref="M6:W6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9"/>
  <sheetViews>
    <sheetView zoomScale="110" zoomScaleNormal="110" workbookViewId="0">
      <selection activeCell="D5" sqref="D5:D9"/>
    </sheetView>
  </sheetViews>
  <sheetFormatPr baseColWidth="10" defaultColWidth="11.5" defaultRowHeight="15" x14ac:dyDescent="0.2"/>
  <cols>
    <col min="2" max="2" width="12.1640625" bestFit="1" customWidth="1"/>
    <col min="3" max="3" width="14.33203125" bestFit="1" customWidth="1"/>
    <col min="4" max="4" width="19.33203125" bestFit="1" customWidth="1"/>
    <col min="5" max="5" width="21.1640625" hidden="1" customWidth="1"/>
    <col min="6" max="6" width="15.83203125" customWidth="1"/>
  </cols>
  <sheetData>
    <row r="3" spans="2:6" x14ac:dyDescent="0.2">
      <c r="C3" s="48" t="s">
        <v>85</v>
      </c>
      <c r="D3" s="48" t="s">
        <v>100</v>
      </c>
      <c r="E3" s="48" t="s">
        <v>86</v>
      </c>
      <c r="F3" s="48" t="s">
        <v>99</v>
      </c>
    </row>
    <row r="4" spans="2:6" x14ac:dyDescent="0.2">
      <c r="C4" s="48"/>
      <c r="D4" s="48"/>
      <c r="E4" s="48"/>
      <c r="F4" s="48">
        <v>0</v>
      </c>
    </row>
    <row r="5" spans="2:6" x14ac:dyDescent="0.2">
      <c r="C5" s="48" t="s">
        <v>87</v>
      </c>
      <c r="D5" s="48">
        <v>26.2</v>
      </c>
      <c r="E5" s="48">
        <f>D5</f>
        <v>26.2</v>
      </c>
      <c r="F5" s="49">
        <f>E5/$E$9</f>
        <v>0.43234323432343236</v>
      </c>
    </row>
    <row r="6" spans="2:6" x14ac:dyDescent="0.2">
      <c r="C6" s="48" t="s">
        <v>98</v>
      </c>
      <c r="D6" s="18">
        <v>15.899999999999999</v>
      </c>
      <c r="E6" s="48">
        <f>E5+D6</f>
        <v>42.099999999999994</v>
      </c>
      <c r="F6" s="49">
        <f>E6/$E$9</f>
        <v>0.69471947194719474</v>
      </c>
    </row>
    <row r="7" spans="2:6" x14ac:dyDescent="0.2">
      <c r="C7" s="48" t="s">
        <v>95</v>
      </c>
      <c r="D7" s="1">
        <v>10</v>
      </c>
      <c r="E7" s="48">
        <f>E6+D7</f>
        <v>52.099999999999994</v>
      </c>
      <c r="F7" s="49">
        <f>E7/$E$9</f>
        <v>0.85973597359735976</v>
      </c>
    </row>
    <row r="8" spans="2:6" x14ac:dyDescent="0.2">
      <c r="C8" s="48" t="s">
        <v>93</v>
      </c>
      <c r="D8" s="48">
        <v>7.5</v>
      </c>
      <c r="E8" s="48">
        <f>E7+D8</f>
        <v>59.599999999999994</v>
      </c>
      <c r="F8" s="49">
        <f>E8/$E$9</f>
        <v>0.98349834983498352</v>
      </c>
    </row>
    <row r="9" spans="2:6" x14ac:dyDescent="0.2">
      <c r="B9" s="50" t="s">
        <v>101</v>
      </c>
      <c r="C9" s="48" t="s">
        <v>83</v>
      </c>
      <c r="D9" s="48">
        <v>1</v>
      </c>
      <c r="E9" s="48">
        <f>E8+D9</f>
        <v>60.599999999999994</v>
      </c>
      <c r="F9" s="49">
        <f>E9/$E$9</f>
        <v>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4:G18"/>
  <sheetViews>
    <sheetView tabSelected="1" workbookViewId="0">
      <selection activeCell="D17" sqref="D17"/>
    </sheetView>
  </sheetViews>
  <sheetFormatPr baseColWidth="10" defaultColWidth="8.83203125" defaultRowHeight="15" x14ac:dyDescent="0.2"/>
  <cols>
    <col min="4" max="4" width="52.33203125" customWidth="1"/>
    <col min="5" max="5" width="51.5" bestFit="1" customWidth="1"/>
    <col min="6" max="6" width="24" bestFit="1" customWidth="1"/>
    <col min="7" max="7" width="27.83203125" bestFit="1" customWidth="1"/>
  </cols>
  <sheetData>
    <row r="4" spans="3:7" x14ac:dyDescent="0.2">
      <c r="C4" s="48" t="s">
        <v>109</v>
      </c>
      <c r="D4" s="48" t="s">
        <v>110</v>
      </c>
      <c r="E4" s="48" t="s">
        <v>111</v>
      </c>
      <c r="F4" s="48" t="s">
        <v>112</v>
      </c>
      <c r="G4" s="48" t="s">
        <v>113</v>
      </c>
    </row>
    <row r="5" spans="3:7" x14ac:dyDescent="0.2">
      <c r="C5">
        <v>1</v>
      </c>
      <c r="D5" t="s">
        <v>117</v>
      </c>
      <c r="E5" t="s">
        <v>115</v>
      </c>
      <c r="F5" s="55"/>
      <c r="G5" s="52"/>
    </row>
    <row r="6" spans="3:7" x14ac:dyDescent="0.2">
      <c r="D6" t="s">
        <v>114</v>
      </c>
      <c r="F6" s="56"/>
      <c r="G6" s="53"/>
    </row>
    <row r="7" spans="3:7" x14ac:dyDescent="0.2">
      <c r="C7">
        <v>2</v>
      </c>
      <c r="D7" t="s">
        <v>118</v>
      </c>
      <c r="E7" t="s">
        <v>116</v>
      </c>
      <c r="F7" s="56"/>
      <c r="G7" s="53"/>
    </row>
    <row r="8" spans="3:7" x14ac:dyDescent="0.2">
      <c r="D8" t="s">
        <v>119</v>
      </c>
      <c r="E8" t="s">
        <v>138</v>
      </c>
      <c r="F8" s="56"/>
      <c r="G8" s="53"/>
    </row>
    <row r="9" spans="3:7" x14ac:dyDescent="0.2">
      <c r="E9" t="s">
        <v>124</v>
      </c>
      <c r="F9" s="56"/>
      <c r="G9" s="53"/>
    </row>
    <row r="10" spans="3:7" x14ac:dyDescent="0.2">
      <c r="E10" t="s">
        <v>120</v>
      </c>
      <c r="F10" s="57"/>
      <c r="G10" s="53"/>
    </row>
    <row r="11" spans="3:7" x14ac:dyDescent="0.2">
      <c r="C11">
        <v>3</v>
      </c>
      <c r="D11" t="s">
        <v>125</v>
      </c>
      <c r="E11" t="s">
        <v>127</v>
      </c>
      <c r="F11" t="s">
        <v>129</v>
      </c>
      <c r="G11" s="53"/>
    </row>
    <row r="12" spans="3:7" x14ac:dyDescent="0.2">
      <c r="D12" t="s">
        <v>128</v>
      </c>
      <c r="E12" t="s">
        <v>126</v>
      </c>
      <c r="F12" t="s">
        <v>130</v>
      </c>
      <c r="G12" s="53"/>
    </row>
    <row r="13" spans="3:7" x14ac:dyDescent="0.2">
      <c r="F13" t="s">
        <v>131</v>
      </c>
      <c r="G13" s="53"/>
    </row>
    <row r="14" spans="3:7" x14ac:dyDescent="0.2">
      <c r="F14" t="s">
        <v>132</v>
      </c>
      <c r="G14" s="54"/>
    </row>
    <row r="15" spans="3:7" x14ac:dyDescent="0.2">
      <c r="C15">
        <v>4</v>
      </c>
      <c r="D15" t="s">
        <v>134</v>
      </c>
      <c r="E15" t="s">
        <v>137</v>
      </c>
      <c r="G15" s="52"/>
    </row>
    <row r="16" spans="3:7" x14ac:dyDescent="0.2">
      <c r="D16" t="s">
        <v>135</v>
      </c>
      <c r="E16" t="s">
        <v>136</v>
      </c>
      <c r="G16" s="54"/>
    </row>
    <row r="17" spans="3:7" x14ac:dyDescent="0.2">
      <c r="C17">
        <v>5</v>
      </c>
      <c r="D17" t="s">
        <v>122</v>
      </c>
      <c r="E17" t="s">
        <v>121</v>
      </c>
      <c r="G17" s="52"/>
    </row>
    <row r="18" spans="3:7" x14ac:dyDescent="0.2">
      <c r="D18" t="s">
        <v>123</v>
      </c>
      <c r="E18" t="s">
        <v>133</v>
      </c>
      <c r="G18" s="54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W39"/>
  <sheetViews>
    <sheetView topLeftCell="A10" zoomScaleNormal="100" workbookViewId="0">
      <selection activeCell="I13" sqref="I13"/>
    </sheetView>
  </sheetViews>
  <sheetFormatPr baseColWidth="10" defaultColWidth="9.1640625" defaultRowHeight="15" x14ac:dyDescent="0.2"/>
  <cols>
    <col min="1" max="1" width="10.5" style="1" bestFit="1" customWidth="1"/>
    <col min="2" max="2" width="11.33203125" style="1" customWidth="1"/>
    <col min="3" max="23" width="8.83203125" style="1" customWidth="1"/>
    <col min="24" max="28" width="9.1640625" style="1"/>
    <col min="29" max="29" width="10.83203125" style="1" bestFit="1" customWidth="1"/>
    <col min="30" max="16384" width="9.1640625" style="1"/>
  </cols>
  <sheetData>
    <row r="2" spans="1:23" ht="19" x14ac:dyDescent="0.2">
      <c r="B2" s="24" t="s">
        <v>40</v>
      </c>
      <c r="L2" s="1" t="s">
        <v>31</v>
      </c>
    </row>
    <row r="4" spans="1:23" x14ac:dyDescent="0.2">
      <c r="B4" s="2" t="s">
        <v>27</v>
      </c>
    </row>
    <row r="5" spans="1:23" x14ac:dyDescent="0.2">
      <c r="B5" s="2"/>
    </row>
    <row r="6" spans="1:23" x14ac:dyDescent="0.2">
      <c r="A6" s="69" t="s">
        <v>47</v>
      </c>
      <c r="B6" s="63" t="s">
        <v>16</v>
      </c>
      <c r="C6" s="64"/>
      <c r="D6" s="64"/>
      <c r="E6" s="64"/>
      <c r="F6" s="64"/>
      <c r="G6" s="64"/>
      <c r="H6" s="64"/>
      <c r="I6" s="64"/>
      <c r="J6" s="64"/>
      <c r="K6" s="64"/>
      <c r="L6" s="65"/>
      <c r="M6" s="63" t="s">
        <v>17</v>
      </c>
      <c r="N6" s="64"/>
      <c r="O6" s="64"/>
      <c r="P6" s="64"/>
      <c r="Q6" s="64"/>
      <c r="R6" s="64"/>
      <c r="S6" s="64"/>
      <c r="T6" s="64"/>
      <c r="U6" s="64"/>
      <c r="V6" s="64"/>
      <c r="W6" s="65"/>
    </row>
    <row r="7" spans="1:23" x14ac:dyDescent="0.2">
      <c r="A7" s="71"/>
      <c r="B7" s="63" t="s">
        <v>18</v>
      </c>
      <c r="C7" s="64"/>
      <c r="D7" s="64"/>
      <c r="E7" s="64"/>
      <c r="F7" s="64"/>
      <c r="G7" s="64"/>
      <c r="H7" s="64"/>
      <c r="I7" s="64"/>
      <c r="J7" s="64"/>
      <c r="K7" s="65"/>
      <c r="L7" s="3" t="s">
        <v>19</v>
      </c>
      <c r="M7" s="66" t="s">
        <v>18</v>
      </c>
      <c r="N7" s="67"/>
      <c r="O7" s="67"/>
      <c r="P7" s="67"/>
      <c r="Q7" s="67"/>
      <c r="R7" s="67"/>
      <c r="S7" s="67"/>
      <c r="T7" s="67"/>
      <c r="U7" s="67"/>
      <c r="V7" s="68"/>
      <c r="W7" s="25" t="s">
        <v>19</v>
      </c>
    </row>
    <row r="8" spans="1:23" x14ac:dyDescent="0.2">
      <c r="A8" s="72" t="s">
        <v>58</v>
      </c>
      <c r="B8" s="6" t="s">
        <v>52</v>
      </c>
      <c r="C8" s="7"/>
      <c r="D8" s="7"/>
      <c r="E8" s="7"/>
      <c r="F8" s="7"/>
      <c r="G8" s="7"/>
      <c r="H8" s="7"/>
      <c r="I8" s="7"/>
      <c r="J8" s="27"/>
      <c r="K8" s="27"/>
      <c r="L8" s="8">
        <v>1</v>
      </c>
      <c r="M8" s="9" t="s">
        <v>41</v>
      </c>
      <c r="N8" s="7"/>
      <c r="O8" s="7"/>
      <c r="P8" s="7"/>
      <c r="Q8" s="7"/>
      <c r="R8" s="7"/>
      <c r="S8" s="7"/>
      <c r="T8" s="7"/>
      <c r="U8" s="7"/>
      <c r="V8" s="7"/>
      <c r="W8" s="8">
        <v>0.1</v>
      </c>
    </row>
    <row r="9" spans="1:23" x14ac:dyDescent="0.2">
      <c r="A9" s="70"/>
      <c r="B9" s="30"/>
      <c r="C9" s="12"/>
      <c r="D9" s="12"/>
      <c r="E9" s="12"/>
      <c r="F9" s="12"/>
      <c r="G9" s="12"/>
      <c r="H9" s="12"/>
      <c r="I9" s="12"/>
      <c r="J9" s="31"/>
      <c r="K9" s="33"/>
      <c r="L9" s="26"/>
      <c r="M9" s="30"/>
      <c r="N9" s="12"/>
      <c r="O9" s="12"/>
      <c r="P9" s="12"/>
      <c r="Q9" s="12"/>
      <c r="R9" s="12"/>
      <c r="S9" s="12"/>
      <c r="T9" s="12"/>
      <c r="U9" s="12"/>
      <c r="V9" s="12"/>
      <c r="W9" s="26"/>
    </row>
    <row r="10" spans="1:23" x14ac:dyDescent="0.2">
      <c r="A10" s="70"/>
      <c r="B10" s="2" t="s">
        <v>42</v>
      </c>
      <c r="L10" s="8">
        <v>4</v>
      </c>
      <c r="M10" s="9" t="s">
        <v>43</v>
      </c>
      <c r="N10" s="7"/>
      <c r="O10" s="7"/>
      <c r="P10" s="7"/>
      <c r="Q10" s="7"/>
      <c r="R10" s="7"/>
      <c r="S10" s="7"/>
      <c r="T10" s="7"/>
      <c r="U10" s="7"/>
      <c r="V10" s="7"/>
      <c r="W10" s="8">
        <v>4.2</v>
      </c>
    </row>
    <row r="11" spans="1:23" x14ac:dyDescent="0.2">
      <c r="A11" s="70"/>
      <c r="L11" s="10"/>
      <c r="M11" s="11"/>
      <c r="W11" s="10"/>
    </row>
    <row r="12" spans="1:23" ht="14.5" customHeight="1" x14ac:dyDescent="0.2">
      <c r="A12" s="70"/>
      <c r="B12" s="9" t="s">
        <v>44</v>
      </c>
      <c r="C12" s="7"/>
      <c r="D12" s="7"/>
      <c r="E12" s="7"/>
      <c r="F12" s="7"/>
      <c r="G12" s="7"/>
      <c r="H12" s="7"/>
      <c r="I12" s="7"/>
      <c r="J12" s="27"/>
      <c r="K12" s="27"/>
      <c r="L12" s="8">
        <v>9</v>
      </c>
      <c r="M12" s="9" t="s">
        <v>44</v>
      </c>
      <c r="N12" s="7"/>
      <c r="O12" s="7"/>
      <c r="P12" s="7"/>
      <c r="Q12" s="7"/>
      <c r="R12" s="7"/>
      <c r="S12" s="7"/>
      <c r="T12" s="7"/>
      <c r="U12" s="7"/>
      <c r="V12" s="7"/>
      <c r="W12" s="8">
        <v>10</v>
      </c>
    </row>
    <row r="13" spans="1:23" ht="14.5" customHeight="1" x14ac:dyDescent="0.2">
      <c r="A13" s="70"/>
      <c r="B13" s="30"/>
      <c r="C13" s="12"/>
      <c r="D13" s="12"/>
      <c r="E13" s="12"/>
      <c r="F13" s="12"/>
      <c r="G13" s="12"/>
      <c r="H13" s="12"/>
      <c r="I13" s="12"/>
      <c r="J13" s="31"/>
      <c r="K13" s="31"/>
      <c r="L13" s="26"/>
      <c r="M13" s="30"/>
      <c r="N13" s="12"/>
      <c r="O13" s="12"/>
      <c r="P13" s="12"/>
      <c r="Q13" s="12"/>
      <c r="R13" s="12"/>
      <c r="S13" s="12"/>
      <c r="T13" s="12"/>
      <c r="U13" s="12"/>
      <c r="V13" s="12"/>
      <c r="W13" s="26"/>
    </row>
    <row r="14" spans="1:23" ht="14.5" customHeight="1" x14ac:dyDescent="0.2">
      <c r="A14" s="70"/>
      <c r="B14" s="9" t="s">
        <v>45</v>
      </c>
      <c r="C14" s="7"/>
      <c r="D14" s="7"/>
      <c r="E14" s="7"/>
      <c r="F14" s="7"/>
      <c r="G14" s="7"/>
      <c r="H14" s="7"/>
      <c r="I14" s="7"/>
      <c r="J14" s="27"/>
      <c r="K14" s="27"/>
      <c r="L14" s="8">
        <v>1.5</v>
      </c>
      <c r="M14" s="9" t="s">
        <v>46</v>
      </c>
      <c r="N14" s="7"/>
      <c r="O14" s="7"/>
      <c r="P14" s="7"/>
      <c r="Q14" s="7"/>
      <c r="R14" s="7"/>
      <c r="S14" s="7"/>
      <c r="T14" s="7"/>
      <c r="U14" s="7"/>
      <c r="V14" s="7"/>
      <c r="W14" s="8">
        <v>0</v>
      </c>
    </row>
    <row r="15" spans="1:23" ht="14.5" customHeight="1" x14ac:dyDescent="0.2">
      <c r="A15" s="71"/>
      <c r="B15" s="30"/>
      <c r="C15" s="12"/>
      <c r="D15" s="12"/>
      <c r="E15" s="12"/>
      <c r="F15" s="12"/>
      <c r="G15" s="12"/>
      <c r="H15" s="12"/>
      <c r="I15" s="12"/>
      <c r="J15" s="31"/>
      <c r="K15" s="31"/>
      <c r="L15" s="26"/>
      <c r="M15" s="30"/>
      <c r="N15" s="12"/>
      <c r="O15" s="12"/>
      <c r="P15" s="12"/>
      <c r="Q15" s="12"/>
      <c r="R15" s="12"/>
      <c r="S15" s="12"/>
      <c r="T15" s="12"/>
      <c r="U15" s="12"/>
      <c r="V15" s="12"/>
      <c r="W15" s="26"/>
    </row>
    <row r="16" spans="1:23" x14ac:dyDescent="0.2">
      <c r="A16" s="69" t="s">
        <v>48</v>
      </c>
      <c r="B16" s="6" t="s">
        <v>49</v>
      </c>
      <c r="C16" s="7"/>
      <c r="D16" s="7"/>
      <c r="E16" s="7"/>
      <c r="F16" s="7"/>
      <c r="G16" s="7"/>
      <c r="H16" s="7"/>
      <c r="I16" s="7"/>
      <c r="J16" s="27"/>
      <c r="K16" s="27"/>
      <c r="L16" s="8">
        <v>15</v>
      </c>
      <c r="M16" s="6" t="s">
        <v>50</v>
      </c>
      <c r="N16" s="7"/>
      <c r="O16" s="7"/>
      <c r="P16" s="7"/>
      <c r="Q16" s="7"/>
      <c r="R16" s="7"/>
      <c r="S16" s="7"/>
      <c r="T16" s="7"/>
      <c r="U16" s="27"/>
      <c r="V16" s="27"/>
      <c r="W16" s="8">
        <v>15</v>
      </c>
    </row>
    <row r="17" spans="1:23" x14ac:dyDescent="0.2">
      <c r="A17" s="70"/>
      <c r="B17" s="30"/>
      <c r="C17" s="12"/>
      <c r="D17" s="12"/>
      <c r="E17" s="12"/>
      <c r="F17" s="12"/>
      <c r="G17" s="12"/>
      <c r="H17" s="12"/>
      <c r="I17" s="12"/>
      <c r="J17" s="31"/>
      <c r="K17" s="33"/>
      <c r="L17" s="26"/>
      <c r="M17" s="30"/>
      <c r="N17" s="12"/>
      <c r="O17" s="12"/>
      <c r="P17" s="12"/>
      <c r="Q17" s="12"/>
      <c r="R17" s="12"/>
      <c r="S17" s="12"/>
      <c r="T17" s="12"/>
      <c r="U17" s="31"/>
      <c r="V17" s="33"/>
      <c r="W17" s="26"/>
    </row>
    <row r="18" spans="1:23" x14ac:dyDescent="0.2">
      <c r="A18" s="70"/>
      <c r="B18" s="2" t="s">
        <v>51</v>
      </c>
      <c r="L18" s="8">
        <v>1</v>
      </c>
      <c r="M18" s="9" t="s">
        <v>53</v>
      </c>
      <c r="N18" s="7"/>
      <c r="O18" s="7"/>
      <c r="P18" s="7"/>
      <c r="Q18" s="7"/>
      <c r="R18" s="7"/>
      <c r="S18" s="7"/>
      <c r="T18" s="7"/>
      <c r="U18" s="7"/>
      <c r="V18" s="7"/>
      <c r="W18" s="8">
        <v>0.15</v>
      </c>
    </row>
    <row r="19" spans="1:23" x14ac:dyDescent="0.2">
      <c r="A19" s="70"/>
      <c r="L19" s="10"/>
      <c r="M19" s="11"/>
      <c r="W19" s="10"/>
    </row>
    <row r="20" spans="1:23" ht="14.5" customHeight="1" x14ac:dyDescent="0.2">
      <c r="A20" s="70"/>
      <c r="B20" s="9" t="s">
        <v>54</v>
      </c>
      <c r="C20" s="7"/>
      <c r="D20" s="7"/>
      <c r="E20" s="7"/>
      <c r="F20" s="7"/>
      <c r="G20" s="7"/>
      <c r="H20" s="7"/>
      <c r="I20" s="7"/>
      <c r="J20" s="27"/>
      <c r="K20" s="27"/>
      <c r="L20" s="8">
        <v>2</v>
      </c>
      <c r="M20" s="9" t="s">
        <v>54</v>
      </c>
      <c r="N20" s="7"/>
      <c r="O20" s="7"/>
      <c r="P20" s="7"/>
      <c r="Q20" s="7"/>
      <c r="R20" s="7"/>
      <c r="S20" s="7"/>
      <c r="T20" s="7"/>
      <c r="U20" s="7"/>
      <c r="V20" s="7"/>
      <c r="W20" s="8">
        <v>2</v>
      </c>
    </row>
    <row r="21" spans="1:23" ht="14.5" customHeight="1" x14ac:dyDescent="0.2">
      <c r="A21" s="70"/>
      <c r="B21" s="30"/>
      <c r="C21" s="12"/>
      <c r="D21" s="12"/>
      <c r="E21" s="12"/>
      <c r="F21" s="12"/>
      <c r="G21" s="12"/>
      <c r="H21" s="12"/>
      <c r="I21" s="12"/>
      <c r="J21" s="31"/>
      <c r="K21" s="31"/>
      <c r="L21" s="26"/>
      <c r="M21" s="30"/>
      <c r="N21" s="12"/>
      <c r="O21" s="12"/>
      <c r="P21" s="12"/>
      <c r="Q21" s="12"/>
      <c r="R21" s="12"/>
      <c r="S21" s="12"/>
      <c r="T21" s="12"/>
      <c r="U21" s="12"/>
      <c r="V21" s="12"/>
      <c r="W21" s="26"/>
    </row>
    <row r="22" spans="1:23" ht="14.5" customHeight="1" x14ac:dyDescent="0.2">
      <c r="A22" s="70"/>
      <c r="B22" s="9" t="s">
        <v>45</v>
      </c>
      <c r="C22" s="7"/>
      <c r="D22" s="7"/>
      <c r="E22" s="7"/>
      <c r="F22" s="7"/>
      <c r="G22" s="7"/>
      <c r="H22" s="7"/>
      <c r="I22" s="7"/>
      <c r="J22" s="27"/>
      <c r="K22" s="27"/>
      <c r="L22" s="8">
        <v>1.5</v>
      </c>
      <c r="M22" s="9" t="s">
        <v>46</v>
      </c>
      <c r="N22" s="7"/>
      <c r="O22" s="7"/>
      <c r="P22" s="7"/>
      <c r="Q22" s="7"/>
      <c r="R22" s="7"/>
      <c r="S22" s="7"/>
      <c r="T22" s="7"/>
      <c r="U22" s="7"/>
      <c r="V22" s="7"/>
      <c r="W22" s="8">
        <v>0</v>
      </c>
    </row>
    <row r="23" spans="1:23" ht="14.5" customHeight="1" x14ac:dyDescent="0.2">
      <c r="A23" s="71"/>
      <c r="B23" s="30"/>
      <c r="C23" s="12"/>
      <c r="D23" s="12"/>
      <c r="E23" s="12"/>
      <c r="F23" s="12"/>
      <c r="G23" s="12"/>
      <c r="H23" s="12"/>
      <c r="I23" s="12"/>
      <c r="J23" s="31"/>
      <c r="K23" s="31"/>
      <c r="L23" s="26"/>
      <c r="M23" s="30"/>
      <c r="N23" s="12"/>
      <c r="O23" s="12"/>
      <c r="P23" s="12"/>
      <c r="Q23" s="12"/>
      <c r="R23" s="12"/>
      <c r="S23" s="12"/>
      <c r="T23" s="12"/>
      <c r="U23" s="12"/>
      <c r="V23" s="12"/>
      <c r="W23" s="26"/>
    </row>
    <row r="24" spans="1:23" ht="14.5" customHeight="1" x14ac:dyDescent="0.2">
      <c r="B24" s="13" t="s">
        <v>20</v>
      </c>
      <c r="C24" s="14"/>
      <c r="D24" s="14"/>
      <c r="E24" s="14"/>
      <c r="F24" s="14"/>
      <c r="G24" s="14"/>
      <c r="H24" s="14"/>
      <c r="I24" s="14"/>
      <c r="J24" s="5"/>
      <c r="K24" s="5"/>
      <c r="L24" s="15">
        <f>SUM(L8:L23)</f>
        <v>35</v>
      </c>
      <c r="M24" s="13" t="s">
        <v>20</v>
      </c>
      <c r="N24" s="14"/>
      <c r="O24" s="14"/>
      <c r="P24" s="14"/>
      <c r="Q24" s="14"/>
      <c r="R24" s="14"/>
      <c r="S24" s="14"/>
      <c r="T24" s="14"/>
      <c r="U24" s="14"/>
      <c r="V24" s="14"/>
      <c r="W24" s="15">
        <f>SUM(W8:W23)</f>
        <v>31.45</v>
      </c>
    </row>
    <row r="26" spans="1:23" x14ac:dyDescent="0.2">
      <c r="B26" s="16" t="s">
        <v>3</v>
      </c>
    </row>
    <row r="27" spans="1:23" x14ac:dyDescent="0.2">
      <c r="B27" s="16" t="s">
        <v>22</v>
      </c>
      <c r="F27" s="1">
        <f>94+20</f>
        <v>114</v>
      </c>
      <c r="G27" s="1" t="s">
        <v>23</v>
      </c>
      <c r="H27" s="39" t="s">
        <v>59</v>
      </c>
    </row>
    <row r="28" spans="1:23" x14ac:dyDescent="0.2">
      <c r="B28" s="16" t="s">
        <v>25</v>
      </c>
      <c r="F28" s="1">
        <f>L24-W24</f>
        <v>3.5500000000000007</v>
      </c>
      <c r="G28" s="1" t="s">
        <v>24</v>
      </c>
      <c r="H28" s="1">
        <f>F28*F27</f>
        <v>404.7000000000001</v>
      </c>
      <c r="I28" s="1" t="s">
        <v>26</v>
      </c>
    </row>
    <row r="29" spans="1:23" x14ac:dyDescent="0.2">
      <c r="B29" s="16" t="s">
        <v>21</v>
      </c>
      <c r="F29" s="1">
        <f>(H28/60)*H29</f>
        <v>1112.9250000000004</v>
      </c>
      <c r="G29" s="1" t="s">
        <v>29</v>
      </c>
      <c r="H29" s="1">
        <v>165</v>
      </c>
      <c r="I29" s="19" t="s">
        <v>28</v>
      </c>
    </row>
    <row r="30" spans="1:23" x14ac:dyDescent="0.2">
      <c r="B30" s="16"/>
      <c r="F30" s="1">
        <f>F29/1000</f>
        <v>1.1129250000000004</v>
      </c>
      <c r="G30" s="1" t="s">
        <v>30</v>
      </c>
    </row>
    <row r="31" spans="1:23" ht="15.75" customHeight="1" x14ac:dyDescent="0.2">
      <c r="C31" s="23"/>
      <c r="D31" s="23"/>
      <c r="E31" s="23"/>
      <c r="F31" s="23"/>
      <c r="G31" s="23"/>
      <c r="H31" s="23"/>
      <c r="I31" s="23"/>
      <c r="J31" s="23"/>
      <c r="K31" s="23"/>
    </row>
    <row r="32" spans="1:23" x14ac:dyDescent="0.2">
      <c r="B32" s="18"/>
      <c r="C32" s="22" t="s">
        <v>8</v>
      </c>
      <c r="D32" s="20" t="s">
        <v>9</v>
      </c>
      <c r="E32" s="20" t="s">
        <v>10</v>
      </c>
      <c r="F32" s="20" t="s">
        <v>11</v>
      </c>
      <c r="G32" s="20" t="s">
        <v>12</v>
      </c>
      <c r="H32" s="21" t="s">
        <v>13</v>
      </c>
      <c r="I32" s="21" t="s">
        <v>14</v>
      </c>
      <c r="J32" s="21" t="s">
        <v>15</v>
      </c>
      <c r="K32" s="21" t="s">
        <v>4</v>
      </c>
      <c r="L32" s="21" t="s">
        <v>5</v>
      </c>
      <c r="M32" s="20" t="s">
        <v>6</v>
      </c>
      <c r="N32" s="20" t="s">
        <v>7</v>
      </c>
    </row>
    <row r="33" spans="2:14" x14ac:dyDescent="0.2">
      <c r="B33" s="17" t="s">
        <v>1</v>
      </c>
      <c r="C33" s="32">
        <f>$F$30</f>
        <v>1.1129250000000004</v>
      </c>
      <c r="D33" s="32">
        <f t="shared" ref="D33:N33" si="0">$F$30</f>
        <v>1.1129250000000004</v>
      </c>
      <c r="E33" s="32">
        <f t="shared" si="0"/>
        <v>1.1129250000000004</v>
      </c>
      <c r="F33" s="32">
        <f t="shared" si="0"/>
        <v>1.1129250000000004</v>
      </c>
      <c r="G33" s="32">
        <f t="shared" si="0"/>
        <v>1.1129250000000004</v>
      </c>
      <c r="H33" s="32">
        <f t="shared" si="0"/>
        <v>1.1129250000000004</v>
      </c>
      <c r="I33" s="32">
        <f t="shared" si="0"/>
        <v>1.1129250000000004</v>
      </c>
      <c r="J33" s="32">
        <f t="shared" si="0"/>
        <v>1.1129250000000004</v>
      </c>
      <c r="K33" s="32">
        <f t="shared" si="0"/>
        <v>1.1129250000000004</v>
      </c>
      <c r="L33" s="32">
        <f t="shared" si="0"/>
        <v>1.1129250000000004</v>
      </c>
      <c r="M33" s="32">
        <f t="shared" si="0"/>
        <v>1.1129250000000004</v>
      </c>
      <c r="N33" s="32">
        <f t="shared" si="0"/>
        <v>1.1129250000000004</v>
      </c>
    </row>
    <row r="34" spans="2:14" x14ac:dyDescent="0.2">
      <c r="B34" s="18" t="s">
        <v>2</v>
      </c>
      <c r="C34" s="20" t="s">
        <v>0</v>
      </c>
      <c r="D34" s="20" t="s">
        <v>0</v>
      </c>
      <c r="E34" s="20" t="s">
        <v>0</v>
      </c>
      <c r="F34" s="20" t="s">
        <v>0</v>
      </c>
      <c r="G34" s="20" t="s">
        <v>0</v>
      </c>
      <c r="H34" s="20" t="s">
        <v>0</v>
      </c>
      <c r="I34" s="20" t="s">
        <v>0</v>
      </c>
      <c r="J34" s="20" t="s">
        <v>0</v>
      </c>
      <c r="K34" s="20" t="s">
        <v>0</v>
      </c>
      <c r="L34" s="20" t="s">
        <v>0</v>
      </c>
      <c r="M34" s="20" t="s">
        <v>0</v>
      </c>
      <c r="N34" s="20" t="s">
        <v>0</v>
      </c>
    </row>
    <row r="35" spans="2:14" x14ac:dyDescent="0.2">
      <c r="C35" s="2"/>
      <c r="D35" s="2"/>
      <c r="E35" s="2"/>
      <c r="F35" s="2"/>
      <c r="G35" s="2"/>
      <c r="H35" s="2"/>
      <c r="I35" s="2"/>
      <c r="J35" s="2"/>
      <c r="K35" s="2"/>
      <c r="L35" s="19"/>
    </row>
    <row r="38" spans="2:14" x14ac:dyDescent="0.2">
      <c r="C38" s="36" t="s">
        <v>56</v>
      </c>
      <c r="D38" s="37">
        <f>(F27*F28)/60</f>
        <v>6.7450000000000019</v>
      </c>
      <c r="E38" s="38" t="s">
        <v>55</v>
      </c>
    </row>
    <row r="39" spans="2:14" x14ac:dyDescent="0.2">
      <c r="C39" s="34"/>
      <c r="D39" s="35"/>
    </row>
  </sheetData>
  <mergeCells count="7">
    <mergeCell ref="A16:A23"/>
    <mergeCell ref="B6:L6"/>
    <mergeCell ref="M6:W6"/>
    <mergeCell ref="B7:K7"/>
    <mergeCell ref="M7:V7"/>
    <mergeCell ref="A8:A15"/>
    <mergeCell ref="A6:A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Sheet1 (2)</vt:lpstr>
      <vt:lpstr>Topic 1</vt:lpstr>
      <vt:lpstr>Pareto</vt:lpstr>
      <vt:lpstr>Phân tích nguyên nhân</vt:lpstr>
      <vt:lpstr>Topic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2024-12-08T17:06:01Z</dcterms:modified>
</cp:coreProperties>
</file>