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/Desktop/"/>
    </mc:Choice>
  </mc:AlternateContent>
  <xr:revisionPtr revIDLastSave="0" documentId="13_ncr:1_{87A86C6A-2D38-A348-9662-7248D4E5DA07}" xr6:coauthVersionLast="47" xr6:coauthVersionMax="47" xr10:uidLastSave="{00000000-0000-0000-0000-000000000000}"/>
  <bookViews>
    <workbookView xWindow="34400" yWindow="500" windowWidth="34400" windowHeight="28300" activeTab="1" xr2:uid="{49A259D4-2283-2144-904D-D6B17F564105}"/>
  </bookViews>
  <sheets>
    <sheet name="Data" sheetId="1" r:id="rId1"/>
    <sheet name="Model" sheetId="8" r:id="rId2"/>
    <sheet name="WACC" sheetId="10" r:id="rId3"/>
    <sheet name="DCF" sheetId="11" r:id="rId4"/>
    <sheet name="Assumptions for 3 Statement" sheetId="9" r:id="rId5"/>
    <sheet name="Comparabl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8" l="1"/>
  <c r="C10" i="10"/>
  <c r="C14" i="11"/>
  <c r="J32" i="9"/>
  <c r="K32" i="9"/>
  <c r="L32" i="9"/>
  <c r="M32" i="9"/>
  <c r="I32" i="9"/>
  <c r="C8" i="10"/>
  <c r="B20" i="9"/>
  <c r="B21" i="9"/>
  <c r="B19" i="9"/>
  <c r="H24" i="8"/>
  <c r="I24" i="8"/>
  <c r="J24" i="8"/>
  <c r="K24" i="8"/>
  <c r="G24" i="8"/>
  <c r="J66" i="9"/>
  <c r="I67" i="9"/>
  <c r="I66" i="9"/>
  <c r="H66" i="9"/>
  <c r="E67" i="9"/>
  <c r="F67" i="9"/>
  <c r="G67" i="9"/>
  <c r="H67" i="9"/>
  <c r="B66" i="9" s="1"/>
  <c r="D67" i="9"/>
  <c r="E66" i="9"/>
  <c r="F66" i="9"/>
  <c r="G66" i="9"/>
  <c r="D66" i="9"/>
  <c r="E12" i="9"/>
  <c r="F12" i="9"/>
  <c r="G12" i="9"/>
  <c r="H12" i="9"/>
  <c r="D12" i="9"/>
  <c r="E19" i="9"/>
  <c r="F19" i="9"/>
  <c r="G19" i="9"/>
  <c r="H19" i="9"/>
  <c r="E20" i="9"/>
  <c r="F20" i="9"/>
  <c r="G20" i="9"/>
  <c r="H20" i="9"/>
  <c r="E21" i="9"/>
  <c r="F21" i="9"/>
  <c r="G21" i="9"/>
  <c r="H21" i="9"/>
  <c r="D21" i="9"/>
  <c r="D20" i="9"/>
  <c r="D19" i="9"/>
  <c r="H15" i="11"/>
  <c r="G15" i="11" s="1"/>
  <c r="J15" i="11"/>
  <c r="K15" i="11" s="1"/>
  <c r="F17" i="11"/>
  <c r="F16" i="11" s="1"/>
  <c r="F19" i="11"/>
  <c r="F20" i="11" s="1"/>
  <c r="C18" i="10"/>
  <c r="C19" i="11"/>
  <c r="G142" i="8"/>
  <c r="G10" i="9"/>
  <c r="B96" i="8"/>
  <c r="F32" i="8"/>
  <c r="F30" i="8"/>
  <c r="C23" i="11"/>
  <c r="D7" i="11"/>
  <c r="E7" i="11"/>
  <c r="F7" i="11"/>
  <c r="G7" i="11"/>
  <c r="D8" i="11"/>
  <c r="E8" i="11"/>
  <c r="F8" i="11"/>
  <c r="G8" i="11"/>
  <c r="C8" i="11"/>
  <c r="C7" i="11"/>
  <c r="F143" i="8"/>
  <c r="H120" i="8"/>
  <c r="C4" i="10"/>
  <c r="C5" i="10"/>
  <c r="C9" i="10" s="1"/>
  <c r="C15" i="10"/>
  <c r="J33" i="9"/>
  <c r="K33" i="9"/>
  <c r="L33" i="9"/>
  <c r="M33" i="9"/>
  <c r="I33" i="9"/>
  <c r="D33" i="9"/>
  <c r="E32" i="9"/>
  <c r="F32" i="9"/>
  <c r="G32" i="9"/>
  <c r="H32" i="9"/>
  <c r="D32" i="9"/>
  <c r="I55" i="9" a="1"/>
  <c r="I55" i="9" s="1"/>
  <c r="J56" i="9" a="1"/>
  <c r="J56" i="9" s="1"/>
  <c r="J57" i="9" a="1"/>
  <c r="J57" i="9" s="1"/>
  <c r="K57" i="9" a="1"/>
  <c r="K57" i="9" s="1"/>
  <c r="J58" i="9" a="1"/>
  <c r="J58" i="9" s="1"/>
  <c r="K58" i="9" a="1"/>
  <c r="K58" i="9" s="1"/>
  <c r="L58" i="9" a="1"/>
  <c r="L58" i="9" s="1"/>
  <c r="I56" i="9" a="1"/>
  <c r="I56" i="9" s="1"/>
  <c r="I57" i="9" a="1"/>
  <c r="I57" i="9" s="1"/>
  <c r="I58" i="9" a="1"/>
  <c r="I58" i="9" s="1"/>
  <c r="E84" i="9"/>
  <c r="F84" i="9"/>
  <c r="G84" i="9"/>
  <c r="H84" i="9"/>
  <c r="I84" i="9"/>
  <c r="J84" i="9"/>
  <c r="K84" i="9"/>
  <c r="L84" i="9"/>
  <c r="M84" i="9"/>
  <c r="D84" i="9"/>
  <c r="A123" i="8"/>
  <c r="A124" i="8"/>
  <c r="A132" i="8"/>
  <c r="A127" i="8"/>
  <c r="A112" i="8"/>
  <c r="H136" i="8"/>
  <c r="I136" i="8"/>
  <c r="J136" i="8"/>
  <c r="K136" i="8"/>
  <c r="I120" i="8"/>
  <c r="J120" i="8"/>
  <c r="K120" i="8"/>
  <c r="A134" i="8"/>
  <c r="H42" i="9"/>
  <c r="G42" i="9"/>
  <c r="F42" i="9"/>
  <c r="E42" i="9"/>
  <c r="D42" i="9"/>
  <c r="A126" i="8"/>
  <c r="A125" i="8"/>
  <c r="A111" i="8"/>
  <c r="A110" i="8"/>
  <c r="A109" i="8"/>
  <c r="A118" i="8"/>
  <c r="A108" i="8"/>
  <c r="A107" i="8"/>
  <c r="A122" i="8"/>
  <c r="A121" i="8"/>
  <c r="A120" i="8"/>
  <c r="A106" i="8"/>
  <c r="A103" i="8"/>
  <c r="A119" i="8"/>
  <c r="A104" i="8"/>
  <c r="A105" i="8"/>
  <c r="A101" i="8"/>
  <c r="A102" i="8"/>
  <c r="A100" i="8"/>
  <c r="K67" i="9" l="1"/>
  <c r="L67" i="9"/>
  <c r="M67" i="9"/>
  <c r="J67" i="9"/>
  <c r="I19" i="9"/>
  <c r="G32" i="8" s="1"/>
  <c r="I20" i="9"/>
  <c r="G33" i="8" s="1"/>
  <c r="I21" i="9"/>
  <c r="J21" i="9" s="1"/>
  <c r="C7" i="10"/>
  <c r="C17" i="10"/>
  <c r="C20" i="11"/>
  <c r="E30" i="8"/>
  <c r="D30" i="8"/>
  <c r="C30" i="8"/>
  <c r="B30" i="8"/>
  <c r="J19" i="9" l="1"/>
  <c r="J20" i="9"/>
  <c r="K20" i="9" s="1"/>
  <c r="L20" i="9" s="1"/>
  <c r="M20" i="9" s="1"/>
  <c r="K33" i="8" s="1"/>
  <c r="G55" i="8"/>
  <c r="K21" i="9"/>
  <c r="H55" i="8"/>
  <c r="K19" i="9"/>
  <c r="H32" i="8"/>
  <c r="C20" i="10"/>
  <c r="J16" i="9"/>
  <c r="H45" i="8" s="1"/>
  <c r="K16" i="9"/>
  <c r="I45" i="8" s="1"/>
  <c r="L16" i="9"/>
  <c r="J45" i="8" s="1"/>
  <c r="M16" i="9"/>
  <c r="K45" i="8" s="1"/>
  <c r="I16" i="9"/>
  <c r="J14" i="9"/>
  <c r="K14" i="9"/>
  <c r="L14" i="9"/>
  <c r="M14" i="9"/>
  <c r="I14" i="9"/>
  <c r="J13" i="9"/>
  <c r="H31" i="8" s="1"/>
  <c r="K13" i="9"/>
  <c r="I31" i="8" s="1"/>
  <c r="L13" i="9"/>
  <c r="J31" i="8" s="1"/>
  <c r="M13" i="9"/>
  <c r="K31" i="8" s="1"/>
  <c r="I13" i="9"/>
  <c r="G31" i="8" s="1"/>
  <c r="J5" i="9"/>
  <c r="H8" i="8" s="1"/>
  <c r="K5" i="9"/>
  <c r="I20" i="8" s="1"/>
  <c r="L5" i="9"/>
  <c r="J20" i="8" s="1"/>
  <c r="M5" i="9"/>
  <c r="K20" i="8" s="1"/>
  <c r="I5" i="9"/>
  <c r="G20" i="8" s="1"/>
  <c r="J4" i="9"/>
  <c r="H19" i="8" s="1"/>
  <c r="K4" i="9"/>
  <c r="I19" i="8" s="1"/>
  <c r="L4" i="9"/>
  <c r="J7" i="8" s="1"/>
  <c r="M4" i="9"/>
  <c r="K7" i="8" s="1"/>
  <c r="I4" i="9"/>
  <c r="G7" i="8" s="1"/>
  <c r="B99" i="1"/>
  <c r="B6" i="8"/>
  <c r="C6" i="8"/>
  <c r="D6" i="8"/>
  <c r="E6" i="8"/>
  <c r="F6" i="8"/>
  <c r="B7" i="8"/>
  <c r="C7" i="8"/>
  <c r="D7" i="8"/>
  <c r="E7" i="8"/>
  <c r="F7" i="8"/>
  <c r="B8" i="8"/>
  <c r="C8" i="8"/>
  <c r="D8" i="8"/>
  <c r="E8" i="8"/>
  <c r="F8" i="8"/>
  <c r="B9" i="8"/>
  <c r="C9" i="8"/>
  <c r="D9" i="8"/>
  <c r="E9" i="8"/>
  <c r="F9" i="8"/>
  <c r="B12" i="8"/>
  <c r="D8" i="9" s="1"/>
  <c r="C12" i="8"/>
  <c r="D12" i="8"/>
  <c r="E12" i="8"/>
  <c r="F12" i="8"/>
  <c r="B13" i="8"/>
  <c r="C13" i="8"/>
  <c r="D13" i="8"/>
  <c r="E13" i="8"/>
  <c r="F13" i="8"/>
  <c r="B14" i="8"/>
  <c r="D10" i="9" s="1"/>
  <c r="C14" i="8"/>
  <c r="D14" i="8"/>
  <c r="E14" i="8"/>
  <c r="F14" i="8"/>
  <c r="B16" i="8"/>
  <c r="C16" i="8"/>
  <c r="D16" i="8"/>
  <c r="E16" i="8"/>
  <c r="F16" i="8"/>
  <c r="B18" i="8"/>
  <c r="C18" i="8"/>
  <c r="D18" i="8"/>
  <c r="E18" i="8"/>
  <c r="F18" i="8"/>
  <c r="B19" i="8"/>
  <c r="C19" i="8"/>
  <c r="D19" i="8"/>
  <c r="E19" i="8"/>
  <c r="F19" i="8"/>
  <c r="B20" i="8"/>
  <c r="C20" i="8"/>
  <c r="D20" i="8"/>
  <c r="E20" i="8"/>
  <c r="F20" i="8"/>
  <c r="B23" i="8"/>
  <c r="C23" i="8"/>
  <c r="D23" i="8"/>
  <c r="E23" i="8"/>
  <c r="F23" i="8"/>
  <c r="B24" i="8"/>
  <c r="C24" i="8"/>
  <c r="D24" i="8"/>
  <c r="E24" i="8"/>
  <c r="F24" i="8"/>
  <c r="B25" i="8"/>
  <c r="C25" i="8"/>
  <c r="D25" i="8"/>
  <c r="E25" i="8"/>
  <c r="F25" i="8"/>
  <c r="B78" i="8"/>
  <c r="C78" i="8"/>
  <c r="D78" i="8"/>
  <c r="E78" i="8"/>
  <c r="F78" i="8"/>
  <c r="G78" i="8" s="1"/>
  <c r="H78" i="8" s="1"/>
  <c r="I78" i="8" s="1"/>
  <c r="J78" i="8" s="1"/>
  <c r="K78" i="8" s="1"/>
  <c r="B80" i="8"/>
  <c r="C80" i="8"/>
  <c r="D80" i="8"/>
  <c r="E80" i="8"/>
  <c r="F80" i="8"/>
  <c r="B81" i="8"/>
  <c r="C81" i="8"/>
  <c r="D81" i="8"/>
  <c r="E81" i="8"/>
  <c r="F81" i="8"/>
  <c r="G81" i="8" s="1"/>
  <c r="H81" i="8" s="1"/>
  <c r="I81" i="8" s="1"/>
  <c r="J81" i="8" s="1"/>
  <c r="K81" i="8" s="1"/>
  <c r="B83" i="8"/>
  <c r="C83" i="8"/>
  <c r="D83" i="8"/>
  <c r="E83" i="8"/>
  <c r="F83" i="8"/>
  <c r="B84" i="8"/>
  <c r="C84" i="8"/>
  <c r="D84" i="8"/>
  <c r="E84" i="8"/>
  <c r="F84" i="8"/>
  <c r="B85" i="8"/>
  <c r="D28" i="9" s="1"/>
  <c r="C85" i="8"/>
  <c r="E28" i="9" s="1"/>
  <c r="D85" i="8"/>
  <c r="F28" i="9" s="1"/>
  <c r="E85" i="8"/>
  <c r="G28" i="9" s="1"/>
  <c r="F85" i="8"/>
  <c r="H28" i="9" s="1"/>
  <c r="B87" i="8"/>
  <c r="D35" i="9" s="1"/>
  <c r="C87" i="8"/>
  <c r="E35" i="9" s="1"/>
  <c r="D87" i="8"/>
  <c r="F35" i="9" s="1"/>
  <c r="E87" i="8"/>
  <c r="G35" i="9" s="1"/>
  <c r="F87" i="8"/>
  <c r="H35" i="9" s="1"/>
  <c r="I35" i="9" s="1"/>
  <c r="G87" i="8" s="1"/>
  <c r="G127" i="8" s="1"/>
  <c r="B54" i="8"/>
  <c r="D87" i="9" s="1"/>
  <c r="C54" i="8"/>
  <c r="E87" i="9" s="1"/>
  <c r="D54" i="8"/>
  <c r="F87" i="9" s="1"/>
  <c r="E54" i="8"/>
  <c r="G87" i="9" s="1"/>
  <c r="F54" i="8"/>
  <c r="H87" i="9" s="1"/>
  <c r="I85" i="9" s="1"/>
  <c r="B55" i="8"/>
  <c r="C55" i="8"/>
  <c r="D55" i="8"/>
  <c r="E55" i="8"/>
  <c r="F55" i="8"/>
  <c r="B56" i="8"/>
  <c r="C56" i="8"/>
  <c r="D56" i="8"/>
  <c r="E56" i="8"/>
  <c r="F56" i="8"/>
  <c r="B57" i="8"/>
  <c r="C57" i="8"/>
  <c r="D57" i="8"/>
  <c r="E57" i="8"/>
  <c r="F57" i="8"/>
  <c r="B58" i="8"/>
  <c r="C58" i="8"/>
  <c r="D58" i="8"/>
  <c r="E58" i="8"/>
  <c r="F58" i="8"/>
  <c r="B59" i="8"/>
  <c r="C59" i="8"/>
  <c r="D59" i="8"/>
  <c r="E59" i="8"/>
  <c r="F59" i="8"/>
  <c r="B60" i="8"/>
  <c r="C60" i="8"/>
  <c r="D60" i="8"/>
  <c r="E60" i="8"/>
  <c r="F60" i="8"/>
  <c r="B64" i="8"/>
  <c r="C64" i="8"/>
  <c r="D64" i="8"/>
  <c r="E64" i="8"/>
  <c r="F64" i="8"/>
  <c r="B66" i="8"/>
  <c r="C66" i="8"/>
  <c r="D66" i="8"/>
  <c r="E66" i="8"/>
  <c r="F66" i="8"/>
  <c r="B67" i="8"/>
  <c r="C67" i="8"/>
  <c r="D67" i="8"/>
  <c r="E67" i="8"/>
  <c r="F67" i="8"/>
  <c r="B68" i="8"/>
  <c r="C68" i="8"/>
  <c r="D68" i="8"/>
  <c r="E68" i="8"/>
  <c r="F68" i="8"/>
  <c r="B69" i="8"/>
  <c r="C69" i="8"/>
  <c r="D69" i="8"/>
  <c r="E69" i="8"/>
  <c r="F69" i="8"/>
  <c r="B70" i="8"/>
  <c r="C70" i="8"/>
  <c r="D70" i="8"/>
  <c r="E70" i="8"/>
  <c r="F70" i="8"/>
  <c r="B71" i="8"/>
  <c r="C71" i="8"/>
  <c r="D71" i="8"/>
  <c r="E71" i="8"/>
  <c r="F71" i="8"/>
  <c r="B31" i="8"/>
  <c r="D13" i="9" s="1"/>
  <c r="C31" i="8"/>
  <c r="E13" i="9" s="1"/>
  <c r="D31" i="8"/>
  <c r="F13" i="9" s="1"/>
  <c r="E31" i="8"/>
  <c r="G13" i="9" s="1"/>
  <c r="F31" i="8"/>
  <c r="H13" i="9" s="1"/>
  <c r="B32" i="8"/>
  <c r="C32" i="8"/>
  <c r="D32" i="8"/>
  <c r="E32" i="8"/>
  <c r="B33" i="8"/>
  <c r="C33" i="8"/>
  <c r="D33" i="8"/>
  <c r="E33" i="8"/>
  <c r="F33" i="8"/>
  <c r="B34" i="8"/>
  <c r="C34" i="8"/>
  <c r="D34" i="8"/>
  <c r="E34" i="8"/>
  <c r="F34" i="8"/>
  <c r="B35" i="8"/>
  <c r="C35" i="8"/>
  <c r="D35" i="8"/>
  <c r="E35" i="8"/>
  <c r="F35" i="8"/>
  <c r="B36" i="8"/>
  <c r="C36" i="8"/>
  <c r="D36" i="8"/>
  <c r="E36" i="8"/>
  <c r="F36" i="8"/>
  <c r="B37" i="8"/>
  <c r="C37" i="8"/>
  <c r="D37" i="8"/>
  <c r="E37" i="8"/>
  <c r="F37" i="8"/>
  <c r="B40" i="8"/>
  <c r="C40" i="8"/>
  <c r="D40" i="8"/>
  <c r="E40" i="8"/>
  <c r="F40" i="8"/>
  <c r="B41" i="8"/>
  <c r="D14" i="9" s="1"/>
  <c r="C41" i="8"/>
  <c r="E14" i="9" s="1"/>
  <c r="D41" i="8"/>
  <c r="F14" i="9" s="1"/>
  <c r="E41" i="8"/>
  <c r="G14" i="9" s="1"/>
  <c r="F41" i="8"/>
  <c r="G120" i="8" s="1"/>
  <c r="B42" i="8"/>
  <c r="C42" i="8"/>
  <c r="E46" i="9" s="1"/>
  <c r="D42" i="8"/>
  <c r="F46" i="9" s="1"/>
  <c r="E42" i="8"/>
  <c r="F42" i="8"/>
  <c r="B43" i="8"/>
  <c r="C43" i="8"/>
  <c r="D43" i="8"/>
  <c r="E43" i="8"/>
  <c r="G33" i="9" s="1"/>
  <c r="F43" i="8"/>
  <c r="B44" i="8"/>
  <c r="D15" i="9" s="1"/>
  <c r="B15" i="9" s="1"/>
  <c r="C44" i="8"/>
  <c r="E15" i="9" s="1"/>
  <c r="D44" i="8"/>
  <c r="F15" i="9" s="1"/>
  <c r="E44" i="8"/>
  <c r="G15" i="9" s="1"/>
  <c r="F44" i="8"/>
  <c r="B45" i="8"/>
  <c r="D16" i="9" s="1"/>
  <c r="C45" i="8"/>
  <c r="E16" i="9" s="1"/>
  <c r="D45" i="8"/>
  <c r="F16" i="9" s="1"/>
  <c r="E45" i="8"/>
  <c r="G16" i="9" s="1"/>
  <c r="F45" i="8"/>
  <c r="H16" i="9" s="1"/>
  <c r="B46" i="8"/>
  <c r="D69" i="9" s="1"/>
  <c r="C46" i="8"/>
  <c r="E69" i="9" s="1"/>
  <c r="D46" i="8"/>
  <c r="F69" i="9" s="1"/>
  <c r="E46" i="8"/>
  <c r="G69" i="9" s="1"/>
  <c r="F46" i="8"/>
  <c r="H69" i="9" s="1"/>
  <c r="B47" i="8"/>
  <c r="C47" i="8"/>
  <c r="D47" i="8"/>
  <c r="E47" i="8"/>
  <c r="F47" i="8"/>
  <c r="B48" i="8"/>
  <c r="C48" i="8"/>
  <c r="D48" i="8"/>
  <c r="E48" i="8"/>
  <c r="F48" i="8"/>
  <c r="B128" i="1"/>
  <c r="G17" i="5"/>
  <c r="H17" i="5"/>
  <c r="I17" i="5"/>
  <c r="J17" i="5"/>
  <c r="K17" i="5"/>
  <c r="F17" i="5"/>
  <c r="G16" i="5"/>
  <c r="H16" i="5"/>
  <c r="I16" i="5"/>
  <c r="J16" i="5"/>
  <c r="K16" i="5"/>
  <c r="F16" i="5"/>
  <c r="G15" i="5"/>
  <c r="H15" i="5"/>
  <c r="I15" i="5"/>
  <c r="J15" i="5"/>
  <c r="K15" i="5"/>
  <c r="F15" i="5"/>
  <c r="K13" i="5"/>
  <c r="G14" i="5"/>
  <c r="H14" i="5"/>
  <c r="I14" i="5"/>
  <c r="J14" i="5"/>
  <c r="K14" i="5"/>
  <c r="F14" i="5"/>
  <c r="G13" i="5"/>
  <c r="H13" i="5"/>
  <c r="I13" i="5"/>
  <c r="J13" i="5"/>
  <c r="F13" i="5"/>
  <c r="C184" i="1"/>
  <c r="D184" i="1"/>
  <c r="E184" i="1"/>
  <c r="F184" i="1"/>
  <c r="G184" i="1"/>
  <c r="D181" i="1"/>
  <c r="C36" i="1"/>
  <c r="B119" i="1"/>
  <c r="C181" i="1"/>
  <c r="E181" i="1"/>
  <c r="F181" i="1"/>
  <c r="G181" i="1"/>
  <c r="L24" i="1"/>
  <c r="L36" i="1"/>
  <c r="L47" i="1"/>
  <c r="L61" i="1"/>
  <c r="L63" i="1" s="1"/>
  <c r="L73" i="1"/>
  <c r="L84" i="1"/>
  <c r="L147" i="1"/>
  <c r="L157" i="1"/>
  <c r="B156" i="1"/>
  <c r="B158" i="1"/>
  <c r="C157" i="1"/>
  <c r="B151" i="1"/>
  <c r="B152" i="1"/>
  <c r="B153" i="1"/>
  <c r="B154" i="1"/>
  <c r="B155" i="1"/>
  <c r="B150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33" i="1"/>
  <c r="B120" i="1"/>
  <c r="B121" i="1"/>
  <c r="B122" i="1"/>
  <c r="B123" i="1"/>
  <c r="B124" i="1"/>
  <c r="B125" i="1"/>
  <c r="B126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78" i="1"/>
  <c r="B79" i="1"/>
  <c r="B80" i="1"/>
  <c r="B81" i="1"/>
  <c r="B82" i="1"/>
  <c r="B69" i="1"/>
  <c r="B42" i="1"/>
  <c r="B72" i="1"/>
  <c r="B6" i="1"/>
  <c r="B7" i="1"/>
  <c r="B8" i="1"/>
  <c r="B9" i="1"/>
  <c r="B10" i="1"/>
  <c r="B11" i="1"/>
  <c r="B12" i="1"/>
  <c r="B14" i="1"/>
  <c r="B15" i="1"/>
  <c r="B16" i="1"/>
  <c r="B17" i="1"/>
  <c r="B18" i="1"/>
  <c r="B19" i="1"/>
  <c r="B20" i="1"/>
  <c r="B21" i="1"/>
  <c r="B22" i="1"/>
  <c r="B23" i="1"/>
  <c r="B26" i="1"/>
  <c r="B27" i="1"/>
  <c r="B28" i="1"/>
  <c r="B29" i="1"/>
  <c r="B30" i="1"/>
  <c r="B31" i="1"/>
  <c r="B32" i="1"/>
  <c r="B33" i="1"/>
  <c r="B34" i="1"/>
  <c r="B35" i="1"/>
  <c r="B37" i="1"/>
  <c r="B38" i="1"/>
  <c r="B39" i="1"/>
  <c r="B40" i="1"/>
  <c r="B41" i="1"/>
  <c r="B43" i="1"/>
  <c r="B44" i="1"/>
  <c r="B45" i="1"/>
  <c r="B46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70" i="1"/>
  <c r="B71" i="1"/>
  <c r="B74" i="1"/>
  <c r="B75" i="1"/>
  <c r="B76" i="1"/>
  <c r="B77" i="1"/>
  <c r="B83" i="1"/>
  <c r="B86" i="1"/>
  <c r="B87" i="1"/>
  <c r="B89" i="1"/>
  <c r="C24" i="1"/>
  <c r="D24" i="1"/>
  <c r="E24" i="1"/>
  <c r="F24" i="1"/>
  <c r="G24" i="1"/>
  <c r="D36" i="1"/>
  <c r="E36" i="1"/>
  <c r="F36" i="1"/>
  <c r="G36" i="1"/>
  <c r="C47" i="1"/>
  <c r="D47" i="1"/>
  <c r="E47" i="1"/>
  <c r="F47" i="1"/>
  <c r="G47" i="1"/>
  <c r="C61" i="1"/>
  <c r="C63" i="1" s="1"/>
  <c r="D61" i="1"/>
  <c r="D63" i="1" s="1"/>
  <c r="E61" i="1"/>
  <c r="E63" i="1" s="1"/>
  <c r="F61" i="1"/>
  <c r="F63" i="1" s="1"/>
  <c r="G61" i="1"/>
  <c r="G63" i="1" s="1"/>
  <c r="C73" i="1"/>
  <c r="D73" i="1"/>
  <c r="E73" i="1"/>
  <c r="F73" i="1"/>
  <c r="G73" i="1"/>
  <c r="G84" i="1"/>
  <c r="C147" i="1"/>
  <c r="D147" i="1"/>
  <c r="E147" i="1"/>
  <c r="F147" i="1"/>
  <c r="G147" i="1"/>
  <c r="D157" i="1"/>
  <c r="E157" i="1"/>
  <c r="F157" i="1"/>
  <c r="G157" i="1"/>
  <c r="C176" i="1"/>
  <c r="D176" i="1"/>
  <c r="E176" i="1"/>
  <c r="F176" i="1"/>
  <c r="G176" i="1"/>
  <c r="C177" i="1"/>
  <c r="D177" i="1"/>
  <c r="E177" i="1"/>
  <c r="F177" i="1"/>
  <c r="G177" i="1"/>
  <c r="K24" i="1"/>
  <c r="B24" i="1" s="1"/>
  <c r="K36" i="1"/>
  <c r="B36" i="1" s="1"/>
  <c r="K47" i="1"/>
  <c r="B47" i="1" s="1"/>
  <c r="K61" i="1"/>
  <c r="K63" i="1" s="1"/>
  <c r="B63" i="1" s="1"/>
  <c r="K73" i="1"/>
  <c r="K84" i="1"/>
  <c r="K147" i="1"/>
  <c r="K157" i="1"/>
  <c r="I33" i="8" l="1"/>
  <c r="J33" i="8"/>
  <c r="H33" i="8"/>
  <c r="L19" i="9"/>
  <c r="I32" i="8"/>
  <c r="L21" i="9"/>
  <c r="I55" i="8"/>
  <c r="H10" i="9"/>
  <c r="I52" i="9"/>
  <c r="H63" i="9"/>
  <c r="H62" i="9"/>
  <c r="G63" i="9"/>
  <c r="G62" i="9"/>
  <c r="G64" i="9" s="1"/>
  <c r="E63" i="9"/>
  <c r="E62" i="9"/>
  <c r="D63" i="9"/>
  <c r="D62" i="9"/>
  <c r="H46" i="9"/>
  <c r="I41" i="9" s="1"/>
  <c r="G136" i="8"/>
  <c r="G46" i="9"/>
  <c r="H41" i="9" s="1"/>
  <c r="F63" i="9"/>
  <c r="F62" i="9"/>
  <c r="D46" i="9"/>
  <c r="E41" i="9" s="1"/>
  <c r="F33" i="9"/>
  <c r="F3" i="9"/>
  <c r="H77" i="9"/>
  <c r="I73" i="9" s="1"/>
  <c r="G118" i="8"/>
  <c r="G45" i="8"/>
  <c r="G98" i="8" s="1"/>
  <c r="F10" i="9"/>
  <c r="G83" i="8"/>
  <c r="G77" i="9"/>
  <c r="F77" i="9"/>
  <c r="E77" i="9"/>
  <c r="D77" i="9"/>
  <c r="K118" i="8"/>
  <c r="G41" i="9"/>
  <c r="G43" i="9" s="1"/>
  <c r="F41" i="9"/>
  <c r="F43" i="9" s="1"/>
  <c r="H14" i="9"/>
  <c r="H118" i="8"/>
  <c r="J118" i="8"/>
  <c r="G8" i="9"/>
  <c r="H15" i="9"/>
  <c r="I118" i="8"/>
  <c r="H7" i="8"/>
  <c r="H20" i="8"/>
  <c r="K8" i="8"/>
  <c r="I7" i="8"/>
  <c r="H8" i="9"/>
  <c r="E10" i="9"/>
  <c r="E5" i="9"/>
  <c r="K98" i="8"/>
  <c r="J98" i="8"/>
  <c r="E8" i="9"/>
  <c r="I98" i="8"/>
  <c r="F8" i="9"/>
  <c r="G9" i="9"/>
  <c r="F38" i="8"/>
  <c r="F5" i="9"/>
  <c r="H9" i="9"/>
  <c r="F27" i="9"/>
  <c r="C86" i="8"/>
  <c r="C88" i="8" s="1"/>
  <c r="E33" i="9"/>
  <c r="E9" i="9"/>
  <c r="D9" i="9"/>
  <c r="G27" i="9"/>
  <c r="F9" i="9"/>
  <c r="G3" i="9"/>
  <c r="J35" i="9"/>
  <c r="F86" i="8"/>
  <c r="F88" i="8" s="1"/>
  <c r="H4" i="9"/>
  <c r="H27" i="9"/>
  <c r="E86" i="8"/>
  <c r="E88" i="8" s="1"/>
  <c r="G4" i="9"/>
  <c r="D86" i="8"/>
  <c r="D88" i="8" s="1"/>
  <c r="F4" i="9"/>
  <c r="H5" i="9"/>
  <c r="G5" i="9"/>
  <c r="B86" i="8"/>
  <c r="B88" i="8" s="1"/>
  <c r="B28" i="9"/>
  <c r="K28" i="9" s="1"/>
  <c r="I85" i="8" s="1"/>
  <c r="E4" i="9"/>
  <c r="G80" i="8"/>
  <c r="H80" i="8" s="1"/>
  <c r="I80" i="8" s="1"/>
  <c r="J80" i="8" s="1"/>
  <c r="K80" i="8" s="1"/>
  <c r="D4" i="9"/>
  <c r="H33" i="9"/>
  <c r="H3" i="9"/>
  <c r="E27" i="9"/>
  <c r="D5" i="9"/>
  <c r="E3" i="9"/>
  <c r="G8" i="8"/>
  <c r="K15" i="9"/>
  <c r="I44" i="8" s="1"/>
  <c r="J15" i="9"/>
  <c r="H44" i="8" s="1"/>
  <c r="L15" i="9"/>
  <c r="J44" i="8" s="1"/>
  <c r="M15" i="9"/>
  <c r="K44" i="8" s="1"/>
  <c r="I15" i="9"/>
  <c r="G44" i="8" s="1"/>
  <c r="G121" i="8" s="1"/>
  <c r="C21" i="8"/>
  <c r="C72" i="8"/>
  <c r="I8" i="8"/>
  <c r="J8" i="8"/>
  <c r="G19" i="8"/>
  <c r="K19" i="8"/>
  <c r="J19" i="8"/>
  <c r="F61" i="8"/>
  <c r="F10" i="8"/>
  <c r="D72" i="8"/>
  <c r="D21" i="8"/>
  <c r="F49" i="8"/>
  <c r="E21" i="8"/>
  <c r="B61" i="8"/>
  <c r="B21" i="8"/>
  <c r="B10" i="8"/>
  <c r="E49" i="8"/>
  <c r="E72" i="8"/>
  <c r="E61" i="8"/>
  <c r="E10" i="8"/>
  <c r="D61" i="8"/>
  <c r="D10" i="8"/>
  <c r="C49" i="8"/>
  <c r="C10" i="8"/>
  <c r="F72" i="8"/>
  <c r="D49" i="8"/>
  <c r="B49" i="8"/>
  <c r="B72" i="8"/>
  <c r="C61" i="8"/>
  <c r="F21" i="8"/>
  <c r="L85" i="1"/>
  <c r="L88" i="1" s="1"/>
  <c r="L96" i="1" s="1"/>
  <c r="L117" i="1" s="1"/>
  <c r="L127" i="1" s="1"/>
  <c r="L129" i="1" s="1"/>
  <c r="L159" i="1" s="1"/>
  <c r="L161" i="1" s="1"/>
  <c r="L5" i="1" s="1"/>
  <c r="L13" i="1" s="1"/>
  <c r="L25" i="1" s="1"/>
  <c r="L66" i="1" s="1"/>
  <c r="L90" i="1"/>
  <c r="L48" i="1"/>
  <c r="L64" i="1" s="1"/>
  <c r="B147" i="1"/>
  <c r="B157" i="1"/>
  <c r="B73" i="1"/>
  <c r="F84" i="1"/>
  <c r="F85" i="1" s="1"/>
  <c r="F88" i="1" s="1"/>
  <c r="B61" i="1"/>
  <c r="G48" i="1"/>
  <c r="F48" i="1"/>
  <c r="G85" i="1"/>
  <c r="G88" i="1" s="1"/>
  <c r="E48" i="1"/>
  <c r="D48" i="1"/>
  <c r="C48" i="1"/>
  <c r="K48" i="1"/>
  <c r="B48" i="1" s="1"/>
  <c r="K85" i="1"/>
  <c r="K88" i="1" s="1"/>
  <c r="K186" i="1" s="1"/>
  <c r="M21" i="9" l="1"/>
  <c r="K55" i="8" s="1"/>
  <c r="J55" i="8"/>
  <c r="B27" i="9"/>
  <c r="M19" i="9"/>
  <c r="K32" i="8" s="1"/>
  <c r="J32" i="8"/>
  <c r="E64" i="9"/>
  <c r="B8" i="9"/>
  <c r="J8" i="9" s="1"/>
  <c r="F64" i="9"/>
  <c r="H64" i="9"/>
  <c r="E43" i="9"/>
  <c r="E44" i="9"/>
  <c r="D64" i="9"/>
  <c r="H98" i="8"/>
  <c r="H43" i="9"/>
  <c r="H44" i="9"/>
  <c r="H45" i="9" s="1"/>
  <c r="H121" i="8"/>
  <c r="B10" i="9"/>
  <c r="G44" i="9"/>
  <c r="H83" i="8"/>
  <c r="J121" i="8"/>
  <c r="K121" i="8"/>
  <c r="F44" i="9"/>
  <c r="I121" i="8"/>
  <c r="B73" i="8"/>
  <c r="B89" i="8" s="1"/>
  <c r="F50" i="8"/>
  <c r="C73" i="8"/>
  <c r="C89" i="8" s="1"/>
  <c r="B9" i="9"/>
  <c r="M9" i="9" s="1"/>
  <c r="G68" i="8"/>
  <c r="G111" i="8" s="1"/>
  <c r="F73" i="8"/>
  <c r="F89" i="8" s="1"/>
  <c r="C22" i="8"/>
  <c r="C26" i="8" s="1"/>
  <c r="K35" i="9"/>
  <c r="H87" i="8"/>
  <c r="H127" i="8" s="1"/>
  <c r="I28" i="9"/>
  <c r="G85" i="8" s="1"/>
  <c r="G132" i="8" s="1"/>
  <c r="L28" i="9"/>
  <c r="J85" i="8" s="1"/>
  <c r="J132" i="8" s="1"/>
  <c r="M28" i="9"/>
  <c r="K85" i="8" s="1"/>
  <c r="J28" i="9"/>
  <c r="H85" i="8" s="1"/>
  <c r="E22" i="8"/>
  <c r="E26" i="8" s="1"/>
  <c r="F22" i="8"/>
  <c r="F26" i="8" s="1"/>
  <c r="D22" i="8"/>
  <c r="D26" i="8" s="1"/>
  <c r="D73" i="8"/>
  <c r="D89" i="8" s="1"/>
  <c r="E73" i="8"/>
  <c r="E89" i="8" s="1"/>
  <c r="B22" i="8"/>
  <c r="B26" i="8" s="1"/>
  <c r="E64" i="1"/>
  <c r="F64" i="1"/>
  <c r="G64" i="1"/>
  <c r="C64" i="1"/>
  <c r="D64" i="1"/>
  <c r="F90" i="1"/>
  <c r="F186" i="1"/>
  <c r="G90" i="1"/>
  <c r="G186" i="1"/>
  <c r="K64" i="1"/>
  <c r="B64" i="1" s="1"/>
  <c r="E84" i="1"/>
  <c r="E85" i="1" s="1"/>
  <c r="E88" i="1" s="1"/>
  <c r="K90" i="1"/>
  <c r="G96" i="1"/>
  <c r="G117" i="1" s="1"/>
  <c r="G127" i="1" s="1"/>
  <c r="G129" i="1" s="1"/>
  <c r="G159" i="1" s="1"/>
  <c r="F96" i="1"/>
  <c r="F117" i="1" s="1"/>
  <c r="F127" i="1" s="1"/>
  <c r="F129" i="1" s="1"/>
  <c r="K96" i="1"/>
  <c r="L10" i="9" l="1"/>
  <c r="I10" i="9"/>
  <c r="F70" i="9"/>
  <c r="F45" i="9"/>
  <c r="E70" i="9"/>
  <c r="E45" i="9"/>
  <c r="G70" i="9"/>
  <c r="G45" i="9"/>
  <c r="H70" i="9"/>
  <c r="B42" i="9"/>
  <c r="E96" i="8"/>
  <c r="D96" i="8"/>
  <c r="C96" i="8"/>
  <c r="F96" i="8"/>
  <c r="K132" i="8"/>
  <c r="H132" i="8"/>
  <c r="I3" i="9"/>
  <c r="G6" i="8" s="1"/>
  <c r="H6" i="8" s="1"/>
  <c r="I6" i="8" s="1"/>
  <c r="J6" i="8" s="1"/>
  <c r="K6" i="8" s="1"/>
  <c r="M10" i="9"/>
  <c r="I132" i="8"/>
  <c r="J10" i="9"/>
  <c r="K10" i="9"/>
  <c r="I83" i="8"/>
  <c r="J3" i="9"/>
  <c r="I8" i="9"/>
  <c r="L8" i="9"/>
  <c r="M8" i="9"/>
  <c r="K8" i="9"/>
  <c r="K27" i="9"/>
  <c r="J9" i="9"/>
  <c r="I9" i="9"/>
  <c r="I27" i="9"/>
  <c r="K9" i="9"/>
  <c r="L9" i="9"/>
  <c r="M27" i="9"/>
  <c r="J27" i="9"/>
  <c r="L27" i="9"/>
  <c r="L3" i="9"/>
  <c r="M3" i="9"/>
  <c r="L35" i="9"/>
  <c r="I87" i="8"/>
  <c r="I127" i="8" s="1"/>
  <c r="K3" i="9"/>
  <c r="G9" i="8"/>
  <c r="H9" i="8" s="1"/>
  <c r="I9" i="8" s="1"/>
  <c r="J9" i="8" s="1"/>
  <c r="K9" i="8" s="1"/>
  <c r="K188" i="1"/>
  <c r="E96" i="1"/>
  <c r="E117" i="1" s="1"/>
  <c r="E127" i="1" s="1"/>
  <c r="E129" i="1" s="1"/>
  <c r="E159" i="1" s="1"/>
  <c r="E186" i="1"/>
  <c r="G182" i="1"/>
  <c r="G188" i="1"/>
  <c r="F182" i="1"/>
  <c r="F188" i="1"/>
  <c r="B160" i="1"/>
  <c r="E90" i="1"/>
  <c r="D84" i="1"/>
  <c r="D85" i="1" s="1"/>
  <c r="D88" i="1" s="1"/>
  <c r="D186" i="1" s="1"/>
  <c r="G179" i="1"/>
  <c r="F159" i="1"/>
  <c r="F179" i="1"/>
  <c r="F178" i="1"/>
  <c r="K117" i="1"/>
  <c r="K127" i="1" s="1"/>
  <c r="K129" i="1" s="1"/>
  <c r="G178" i="1" s="1"/>
  <c r="B69" i="9" l="1"/>
  <c r="L70" i="9" s="1"/>
  <c r="G100" i="8"/>
  <c r="M43" i="9"/>
  <c r="I43" i="9"/>
  <c r="I42" i="9" s="1"/>
  <c r="B44" i="9"/>
  <c r="J43" i="9"/>
  <c r="K43" i="9"/>
  <c r="L43" i="9"/>
  <c r="G35" i="8"/>
  <c r="G59" i="8"/>
  <c r="G124" i="8" s="1"/>
  <c r="G40" i="8"/>
  <c r="G105" i="8" s="1"/>
  <c r="G47" i="8"/>
  <c r="G123" i="8" s="1"/>
  <c r="G71" i="8"/>
  <c r="G126" i="8" s="1"/>
  <c r="G70" i="8"/>
  <c r="G69" i="8"/>
  <c r="G112" i="8" s="1"/>
  <c r="G60" i="8"/>
  <c r="G109" i="8" s="1"/>
  <c r="G43" i="8"/>
  <c r="G106" i="8" s="1"/>
  <c r="J83" i="8"/>
  <c r="H68" i="8"/>
  <c r="G13" i="8"/>
  <c r="G14" i="8"/>
  <c r="G37" i="8"/>
  <c r="G104" i="8" s="1"/>
  <c r="G36" i="8"/>
  <c r="G34" i="8"/>
  <c r="G102" i="8" s="1"/>
  <c r="G48" i="8"/>
  <c r="G107" i="8" s="1"/>
  <c r="G12" i="8"/>
  <c r="G101" i="8" s="1"/>
  <c r="G10" i="8"/>
  <c r="M35" i="9"/>
  <c r="K87" i="8" s="1"/>
  <c r="J87" i="8"/>
  <c r="J127" i="8" s="1"/>
  <c r="E178" i="1"/>
  <c r="B38" i="8"/>
  <c r="B50" i="8" s="1"/>
  <c r="B91" i="8" s="1"/>
  <c r="E188" i="1"/>
  <c r="E182" i="1"/>
  <c r="E179" i="1"/>
  <c r="D96" i="1"/>
  <c r="D117" i="1" s="1"/>
  <c r="D90" i="1"/>
  <c r="C84" i="1"/>
  <c r="K159" i="1"/>
  <c r="K161" i="1" s="1"/>
  <c r="K5" i="1" s="1"/>
  <c r="M70" i="9" l="1"/>
  <c r="I70" i="9"/>
  <c r="K70" i="9"/>
  <c r="J70" i="9"/>
  <c r="J45" i="9"/>
  <c r="J44" i="9" s="1"/>
  <c r="J50" i="9" s="1"/>
  <c r="J55" i="9" s="1" a="1"/>
  <c r="J55" i="9" s="1"/>
  <c r="K45" i="9"/>
  <c r="L45" i="9"/>
  <c r="M45" i="9"/>
  <c r="I45" i="9"/>
  <c r="I44" i="9" s="1"/>
  <c r="I50" i="9" s="1"/>
  <c r="H35" i="8"/>
  <c r="H103" i="8" s="1"/>
  <c r="G103" i="8"/>
  <c r="H36" i="8"/>
  <c r="H119" i="8" s="1"/>
  <c r="G119" i="8"/>
  <c r="G125" i="8"/>
  <c r="G108" i="8"/>
  <c r="G97" i="8"/>
  <c r="K127" i="8"/>
  <c r="K83" i="8"/>
  <c r="H71" i="8"/>
  <c r="H70" i="8"/>
  <c r="H59" i="8"/>
  <c r="H47" i="8"/>
  <c r="H123" i="8" s="1"/>
  <c r="H69" i="8"/>
  <c r="H112" i="8" s="1"/>
  <c r="H60" i="8"/>
  <c r="I68" i="8"/>
  <c r="H111" i="8"/>
  <c r="H108" i="8"/>
  <c r="H40" i="8"/>
  <c r="H48" i="8"/>
  <c r="H43" i="8"/>
  <c r="H106" i="8" s="1"/>
  <c r="H37" i="8"/>
  <c r="H34" i="8"/>
  <c r="H102" i="8" s="1"/>
  <c r="G21" i="8"/>
  <c r="H14" i="8"/>
  <c r="H10" i="8"/>
  <c r="H12" i="8"/>
  <c r="H101" i="8" s="1"/>
  <c r="H13" i="8"/>
  <c r="D188" i="1"/>
  <c r="D182" i="1"/>
  <c r="D127" i="1"/>
  <c r="D129" i="1" s="1"/>
  <c r="C85" i="1"/>
  <c r="B84" i="1"/>
  <c r="K13" i="1"/>
  <c r="I69" i="9" l="1"/>
  <c r="G46" i="8" s="1"/>
  <c r="G122" i="8" s="1"/>
  <c r="G22" i="8"/>
  <c r="I10" i="8"/>
  <c r="I54" i="9" a="1"/>
  <c r="I54" i="9" s="1"/>
  <c r="I60" i="9" s="1"/>
  <c r="I62" i="9" s="1"/>
  <c r="I46" i="9"/>
  <c r="G42" i="8" s="1"/>
  <c r="G117" i="8"/>
  <c r="I13" i="8"/>
  <c r="I14" i="8"/>
  <c r="H117" i="8"/>
  <c r="J69" i="9"/>
  <c r="H46" i="8" s="1"/>
  <c r="I12" i="8"/>
  <c r="I101" i="8" s="1"/>
  <c r="K44" i="9"/>
  <c r="I117" i="8" s="1"/>
  <c r="K55" i="9" a="1"/>
  <c r="K55" i="9" s="1"/>
  <c r="L55" i="9" s="1" a="1"/>
  <c r="L55" i="9" s="1"/>
  <c r="M55" i="9" s="1" a="1"/>
  <c r="M55" i="9" s="1"/>
  <c r="I35" i="8"/>
  <c r="I103" i="8" s="1"/>
  <c r="I36" i="8"/>
  <c r="J36" i="8" s="1"/>
  <c r="C38" i="8"/>
  <c r="C50" i="8" s="1"/>
  <c r="C91" i="8" s="1"/>
  <c r="I59" i="8"/>
  <c r="H124" i="8"/>
  <c r="I70" i="8"/>
  <c r="H125" i="8"/>
  <c r="I47" i="8"/>
  <c r="I123" i="8" s="1"/>
  <c r="I71" i="8"/>
  <c r="H126" i="8"/>
  <c r="I40" i="8"/>
  <c r="I105" i="8" s="1"/>
  <c r="H105" i="8"/>
  <c r="H104" i="8"/>
  <c r="I43" i="8"/>
  <c r="I106" i="8" s="1"/>
  <c r="J68" i="8"/>
  <c r="I111" i="8"/>
  <c r="I60" i="8"/>
  <c r="H109" i="8"/>
  <c r="H100" i="8"/>
  <c r="I48" i="8"/>
  <c r="I107" i="8" s="1"/>
  <c r="H107" i="8"/>
  <c r="I69" i="8"/>
  <c r="I112" i="8" s="1"/>
  <c r="I37" i="8"/>
  <c r="I104" i="8" s="1"/>
  <c r="I34" i="8"/>
  <c r="H21" i="8"/>
  <c r="H22" i="8" s="1"/>
  <c r="D159" i="1"/>
  <c r="D178" i="1"/>
  <c r="D179" i="1"/>
  <c r="C88" i="1"/>
  <c r="C186" i="1" s="1"/>
  <c r="B85" i="1"/>
  <c r="K25" i="1"/>
  <c r="B13" i="1"/>
  <c r="H122" i="8" l="1"/>
  <c r="H128" i="8" s="1"/>
  <c r="G58" i="8"/>
  <c r="G110" i="8" s="1"/>
  <c r="G146" i="8" s="1"/>
  <c r="C9" i="11" s="1"/>
  <c r="G96" i="8"/>
  <c r="G128" i="8"/>
  <c r="G49" i="8"/>
  <c r="J54" i="9" a="1"/>
  <c r="J54" i="9" s="1"/>
  <c r="J60" i="9" s="1"/>
  <c r="I63" i="9" s="1"/>
  <c r="G56" i="8" s="1"/>
  <c r="J14" i="8"/>
  <c r="I21" i="8"/>
  <c r="I22" i="8" s="1"/>
  <c r="J12" i="8"/>
  <c r="J101" i="8" s="1"/>
  <c r="L44" i="9"/>
  <c r="L69" i="9" s="1"/>
  <c r="J46" i="8" s="1"/>
  <c r="J10" i="8"/>
  <c r="J13" i="8"/>
  <c r="K50" i="9"/>
  <c r="K56" i="9" s="1" a="1"/>
  <c r="K56" i="9" s="1"/>
  <c r="K69" i="9"/>
  <c r="I46" i="8" s="1"/>
  <c r="I122" i="8" s="1"/>
  <c r="H25" i="8"/>
  <c r="J74" i="9" s="1"/>
  <c r="H58" i="8"/>
  <c r="N55" i="9" a="1"/>
  <c r="N55" i="9" s="1"/>
  <c r="I119" i="8"/>
  <c r="J119" i="8"/>
  <c r="J35" i="8"/>
  <c r="K35" i="8" s="1"/>
  <c r="K103" i="8" s="1"/>
  <c r="K36" i="8"/>
  <c r="K119" i="8" s="1"/>
  <c r="D38" i="8"/>
  <c r="D50" i="8" s="1"/>
  <c r="D91" i="8" s="1"/>
  <c r="J47" i="8"/>
  <c r="J123" i="8" s="1"/>
  <c r="J71" i="8"/>
  <c r="I126" i="8"/>
  <c r="J59" i="8"/>
  <c r="I124" i="8"/>
  <c r="J70" i="8"/>
  <c r="I125" i="8"/>
  <c r="J40" i="8"/>
  <c r="J105" i="8" s="1"/>
  <c r="J69" i="8"/>
  <c r="J112" i="8" s="1"/>
  <c r="I100" i="8"/>
  <c r="J48" i="8"/>
  <c r="J107" i="8" s="1"/>
  <c r="J60" i="8"/>
  <c r="I109" i="8"/>
  <c r="I108" i="8"/>
  <c r="J43" i="8"/>
  <c r="J106" i="8" s="1"/>
  <c r="K68" i="8"/>
  <c r="K111" i="8" s="1"/>
  <c r="J111" i="8"/>
  <c r="I102" i="8"/>
  <c r="J34" i="8"/>
  <c r="J37" i="8"/>
  <c r="C96" i="1"/>
  <c r="C117" i="1" s="1"/>
  <c r="C90" i="1"/>
  <c r="B88" i="1"/>
  <c r="B96" i="1" s="1"/>
  <c r="B117" i="1" s="1"/>
  <c r="K66" i="1"/>
  <c r="B25" i="1"/>
  <c r="B66" i="1" s="1"/>
  <c r="G113" i="8" l="1"/>
  <c r="H110" i="8"/>
  <c r="I74" i="9"/>
  <c r="I64" i="9"/>
  <c r="G66" i="8" s="1"/>
  <c r="G72" i="8" s="1"/>
  <c r="K54" i="9" a="1"/>
  <c r="K54" i="9" s="1"/>
  <c r="L54" i="9" s="1" a="1"/>
  <c r="L54" i="9" s="1"/>
  <c r="M54" i="9" s="1" a="1"/>
  <c r="M54" i="9" s="1"/>
  <c r="J62" i="9"/>
  <c r="I25" i="8"/>
  <c r="K74" i="9" s="1"/>
  <c r="K10" i="8"/>
  <c r="J117" i="8"/>
  <c r="M44" i="9"/>
  <c r="K117" i="8" s="1"/>
  <c r="L50" i="9"/>
  <c r="L57" i="9" s="1" a="1"/>
  <c r="L57" i="9" s="1"/>
  <c r="K13" i="8"/>
  <c r="K14" i="8"/>
  <c r="I58" i="8"/>
  <c r="I110" i="8" s="1"/>
  <c r="K12" i="8"/>
  <c r="K101" i="8" s="1"/>
  <c r="J21" i="8"/>
  <c r="J22" i="8" s="1"/>
  <c r="J122" i="8"/>
  <c r="H96" i="8"/>
  <c r="L56" i="9" a="1"/>
  <c r="L56" i="9" s="1"/>
  <c r="M56" i="9" s="1" a="1"/>
  <c r="M56" i="9" s="1"/>
  <c r="N56" i="9" s="1" a="1"/>
  <c r="N56" i="9" s="1"/>
  <c r="J103" i="8"/>
  <c r="I128" i="8"/>
  <c r="E38" i="8"/>
  <c r="E50" i="8" s="1"/>
  <c r="E91" i="8" s="1"/>
  <c r="K70" i="8"/>
  <c r="K125" i="8" s="1"/>
  <c r="J125" i="8"/>
  <c r="K59" i="8"/>
  <c r="K124" i="8" s="1"/>
  <c r="J124" i="8"/>
  <c r="K71" i="8"/>
  <c r="K126" i="8" s="1"/>
  <c r="J126" i="8"/>
  <c r="K47" i="8"/>
  <c r="K123" i="8" s="1"/>
  <c r="K40" i="8"/>
  <c r="K105" i="8" s="1"/>
  <c r="J102" i="8"/>
  <c r="J108" i="8"/>
  <c r="K60" i="8"/>
  <c r="K109" i="8" s="1"/>
  <c r="J109" i="8"/>
  <c r="K43" i="8"/>
  <c r="K106" i="8" s="1"/>
  <c r="K48" i="8"/>
  <c r="J104" i="8"/>
  <c r="J100" i="8"/>
  <c r="K69" i="8"/>
  <c r="K112" i="8" s="1"/>
  <c r="K34" i="8"/>
  <c r="K102" i="8" s="1"/>
  <c r="K37" i="8"/>
  <c r="K104" i="8" s="1"/>
  <c r="K100" i="8"/>
  <c r="B127" i="1"/>
  <c r="B129" i="1" s="1"/>
  <c r="B159" i="1" s="1"/>
  <c r="B161" i="1" s="1"/>
  <c r="B5" i="1" s="1"/>
  <c r="B90" i="1"/>
  <c r="C188" i="1"/>
  <c r="C182" i="1"/>
  <c r="C127" i="1"/>
  <c r="C129" i="1" s="1"/>
  <c r="G135" i="8" l="1"/>
  <c r="K60" i="9"/>
  <c r="K62" i="9" s="1"/>
  <c r="K66" i="9" s="1"/>
  <c r="I96" i="8"/>
  <c r="J58" i="8"/>
  <c r="J110" i="8" s="1"/>
  <c r="M50" i="9"/>
  <c r="M58" i="9" s="1" a="1"/>
  <c r="M58" i="9" s="1"/>
  <c r="M69" i="9"/>
  <c r="K46" i="8" s="1"/>
  <c r="K122" i="8" s="1"/>
  <c r="K128" i="8" s="1"/>
  <c r="K21" i="8"/>
  <c r="K22" i="8" s="1"/>
  <c r="J25" i="8"/>
  <c r="L74" i="9" s="1"/>
  <c r="L60" i="9"/>
  <c r="M57" i="9" a="1"/>
  <c r="M57" i="9" s="1"/>
  <c r="N57" i="9" s="1" a="1"/>
  <c r="N57" i="9" s="1"/>
  <c r="N54" i="9" a="1"/>
  <c r="N54" i="9" s="1"/>
  <c r="J128" i="8"/>
  <c r="F91" i="8"/>
  <c r="K107" i="8"/>
  <c r="K108" i="8"/>
  <c r="C178" i="1"/>
  <c r="C179" i="1"/>
  <c r="C159" i="1"/>
  <c r="J63" i="9" l="1"/>
  <c r="J64" i="9" s="1"/>
  <c r="H66" i="8" s="1"/>
  <c r="K58" i="8"/>
  <c r="K110" i="8" s="1"/>
  <c r="K25" i="8"/>
  <c r="K96" i="8" s="1"/>
  <c r="J96" i="8"/>
  <c r="L62" i="9"/>
  <c r="L66" i="9" s="1"/>
  <c r="K63" i="9"/>
  <c r="I56" i="8" s="1"/>
  <c r="M60" i="9"/>
  <c r="N58" i="9" a="1"/>
  <c r="N58" i="9" s="1"/>
  <c r="G161" i="1"/>
  <c r="F160" i="1" s="1"/>
  <c r="F161" i="1" s="1"/>
  <c r="M74" i="9" l="1"/>
  <c r="H56" i="8"/>
  <c r="H135" i="8" s="1"/>
  <c r="M62" i="9"/>
  <c r="M66" i="9" s="1"/>
  <c r="N60" i="9"/>
  <c r="M63" i="9" s="1"/>
  <c r="K56" i="8" s="1"/>
  <c r="K64" i="9"/>
  <c r="I66" i="8" s="1"/>
  <c r="L63" i="9"/>
  <c r="H72" i="8"/>
  <c r="G5" i="1"/>
  <c r="F5" i="1"/>
  <c r="E160" i="1"/>
  <c r="E161" i="1" s="1"/>
  <c r="I135" i="8" l="1"/>
  <c r="I72" i="8"/>
  <c r="L64" i="9"/>
  <c r="J66" i="8" s="1"/>
  <c r="J56" i="8"/>
  <c r="M64" i="9"/>
  <c r="K66" i="8" s="1"/>
  <c r="F13" i="1"/>
  <c r="G13" i="1"/>
  <c r="E5" i="1"/>
  <c r="D160" i="1"/>
  <c r="D161" i="1" s="1"/>
  <c r="K135" i="8" l="1"/>
  <c r="K72" i="8"/>
  <c r="J135" i="8"/>
  <c r="J72" i="8"/>
  <c r="F25" i="1"/>
  <c r="E13" i="1"/>
  <c r="G25" i="1"/>
  <c r="C160" i="1"/>
  <c r="C161" i="1" s="1"/>
  <c r="C5" i="1" s="1"/>
  <c r="D5" i="1"/>
  <c r="E25" i="1" l="1"/>
  <c r="F66" i="1"/>
  <c r="D13" i="1"/>
  <c r="G66" i="1"/>
  <c r="C13" i="1"/>
  <c r="E66" i="1" l="1"/>
  <c r="C25" i="1"/>
  <c r="D25" i="1"/>
  <c r="C66" i="1" l="1"/>
  <c r="D66" i="1"/>
  <c r="J41" i="9" l="1"/>
  <c r="J42" i="9" l="1"/>
  <c r="J46" i="9" s="1"/>
  <c r="H97" i="8" l="1"/>
  <c r="H146" i="8" s="1"/>
  <c r="H113" i="8" l="1"/>
  <c r="D9" i="11"/>
  <c r="K41" i="9"/>
  <c r="H42" i="8"/>
  <c r="H49" i="8" s="1"/>
  <c r="K42" i="9" l="1"/>
  <c r="K46" i="9" s="1"/>
  <c r="I97" i="8" l="1"/>
  <c r="L41" i="9"/>
  <c r="I42" i="8"/>
  <c r="I49" i="8" s="1"/>
  <c r="I113" i="8" l="1"/>
  <c r="I146" i="8"/>
  <c r="E9" i="11" s="1"/>
  <c r="L42" i="9"/>
  <c r="L46" i="9" s="1"/>
  <c r="J97" i="8" l="1"/>
  <c r="M41" i="9"/>
  <c r="J42" i="8"/>
  <c r="J49" i="8" s="1"/>
  <c r="J113" i="8" l="1"/>
  <c r="J146" i="8"/>
  <c r="F9" i="11" s="1"/>
  <c r="M42" i="9"/>
  <c r="M46" i="9" s="1"/>
  <c r="K42" i="8" s="1"/>
  <c r="K49" i="8" s="1"/>
  <c r="K97" i="8" l="1"/>
  <c r="K113" i="8" l="1"/>
  <c r="K146" i="8"/>
  <c r="G9" i="11" s="1"/>
  <c r="C10" i="11" l="1"/>
  <c r="D10" i="11" l="1"/>
  <c r="E10" i="11" l="1"/>
  <c r="F10" i="11" l="1"/>
  <c r="G10" i="11" l="1"/>
  <c r="C16" i="11" s="1"/>
  <c r="C17" i="11" s="1"/>
  <c r="C13" i="11" l="1"/>
  <c r="C18" i="11" s="1"/>
  <c r="C22" i="11" l="1"/>
  <c r="C24" i="11" s="1"/>
  <c r="F15" i="11" s="1"/>
  <c r="I75" i="9"/>
  <c r="I76" i="9"/>
  <c r="I77" i="9" l="1"/>
  <c r="G84" i="8" s="1"/>
  <c r="G86" i="8" s="1"/>
  <c r="G88" i="8" s="1"/>
  <c r="G131" i="8"/>
  <c r="G133" i="8" s="1"/>
  <c r="I83" i="9" s="1"/>
  <c r="I86" i="9" s="1"/>
  <c r="I87" i="9" s="1"/>
  <c r="J73" i="9" l="1"/>
  <c r="J85" i="9"/>
  <c r="G54" i="8"/>
  <c r="G134" i="8" l="1"/>
  <c r="G137" i="8" s="1"/>
  <c r="G141" i="8" s="1"/>
  <c r="G143" i="8" s="1"/>
  <c r="G61" i="8"/>
  <c r="G73" i="8" s="1"/>
  <c r="G89" i="8" s="1"/>
  <c r="H142" i="8" l="1"/>
  <c r="I11" i="9"/>
  <c r="I12" i="9" s="1"/>
  <c r="G23" i="8" s="1"/>
  <c r="G26" i="8" s="1"/>
  <c r="G30" i="8"/>
  <c r="G38" i="8" s="1"/>
  <c r="G50" i="8" s="1"/>
  <c r="G91" i="8" s="1"/>
  <c r="J75" i="9"/>
  <c r="M76" i="9"/>
  <c r="K131" i="8" s="1"/>
  <c r="K133" i="8" s="1"/>
  <c r="K76" i="9"/>
  <c r="I131" i="8" s="1"/>
  <c r="I133" i="8" s="1"/>
  <c r="L76" i="9"/>
  <c r="J131" i="8" s="1"/>
  <c r="J133" i="8" s="1"/>
  <c r="J76" i="9"/>
  <c r="H131" i="8" s="1"/>
  <c r="H133" i="8" s="1"/>
  <c r="J77" i="9" l="1"/>
  <c r="K73" i="9" s="1"/>
  <c r="K75" i="9" s="1"/>
  <c r="K77" i="9" s="1"/>
  <c r="L73" i="9" s="1"/>
  <c r="L75" i="9" s="1"/>
  <c r="L77" i="9" s="1"/>
  <c r="J83" i="9"/>
  <c r="J86" i="9" s="1"/>
  <c r="J87" i="9" s="1"/>
  <c r="H54" i="8" s="1"/>
  <c r="H84" i="8" l="1"/>
  <c r="H86" i="8" s="1"/>
  <c r="H88" i="8" s="1"/>
  <c r="K85" i="9"/>
  <c r="I84" i="8"/>
  <c r="I86" i="8" s="1"/>
  <c r="I88" i="8" s="1"/>
  <c r="H134" i="8"/>
  <c r="H137" i="8" s="1"/>
  <c r="H141" i="8" s="1"/>
  <c r="H143" i="8" s="1"/>
  <c r="H61" i="8"/>
  <c r="H73" i="8" s="1"/>
  <c r="J84" i="8"/>
  <c r="J86" i="8" s="1"/>
  <c r="J88" i="8" s="1"/>
  <c r="M73" i="9"/>
  <c r="M75" i="9" s="1"/>
  <c r="M77" i="9" s="1"/>
  <c r="K84" i="8" s="1"/>
  <c r="K86" i="8" s="1"/>
  <c r="K88" i="8" s="1"/>
  <c r="H89" i="8" l="1"/>
  <c r="I142" i="8"/>
  <c r="H30" i="8"/>
  <c r="H38" i="8" s="1"/>
  <c r="H50" i="8" s="1"/>
  <c r="J11" i="9"/>
  <c r="J12" i="9" s="1"/>
  <c r="H23" i="8" s="1"/>
  <c r="H26" i="8" s="1"/>
  <c r="H91" i="8" l="1"/>
  <c r="K83" i="9"/>
  <c r="K86" i="9" s="1"/>
  <c r="K87" i="9" s="1"/>
  <c r="I54" i="8" l="1"/>
  <c r="L85" i="9"/>
  <c r="I134" i="8" l="1"/>
  <c r="I137" i="8" s="1"/>
  <c r="I141" i="8" s="1"/>
  <c r="I143" i="8" s="1"/>
  <c r="I61" i="8"/>
  <c r="I73" i="8" s="1"/>
  <c r="I89" i="8" s="1"/>
  <c r="J142" i="8" l="1"/>
  <c r="I30" i="8"/>
  <c r="I38" i="8" s="1"/>
  <c r="I50" i="8" s="1"/>
  <c r="I91" i="8" s="1"/>
  <c r="K11" i="9"/>
  <c r="K12" i="9" s="1"/>
  <c r="I23" i="8" s="1"/>
  <c r="I26" i="8" s="1"/>
  <c r="L83" i="9" l="1"/>
  <c r="L86" i="9" s="1"/>
  <c r="L87" i="9" s="1"/>
  <c r="J54" i="8" l="1"/>
  <c r="M85" i="9"/>
  <c r="J61" i="8" l="1"/>
  <c r="J73" i="8" s="1"/>
  <c r="J89" i="8" s="1"/>
  <c r="J134" i="8"/>
  <c r="J137" i="8" s="1"/>
  <c r="J141" i="8" s="1"/>
  <c r="J143" i="8" s="1"/>
  <c r="J30" i="8" l="1"/>
  <c r="J38" i="8" s="1"/>
  <c r="J50" i="8" s="1"/>
  <c r="J91" i="8" s="1"/>
  <c r="K142" i="8"/>
  <c r="L11" i="9"/>
  <c r="L12" i="9" s="1"/>
  <c r="J23" i="8" s="1"/>
  <c r="J26" i="8" s="1"/>
  <c r="M83" i="9" l="1"/>
  <c r="M86" i="9" s="1"/>
  <c r="M87" i="9" s="1"/>
  <c r="K54" i="8" s="1"/>
  <c r="K61" i="8" l="1"/>
  <c r="K73" i="8" s="1"/>
  <c r="K89" i="8" s="1"/>
  <c r="K134" i="8"/>
  <c r="K137" i="8" s="1"/>
  <c r="K141" i="8" s="1"/>
  <c r="K143" i="8" s="1"/>
  <c r="K30" i="8" l="1"/>
  <c r="K38" i="8" s="1"/>
  <c r="K50" i="8" s="1"/>
  <c r="K91" i="8" s="1"/>
  <c r="M11" i="9"/>
  <c r="M12" i="9" s="1"/>
  <c r="K23" i="8" s="1"/>
  <c r="K2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<sst xmlns="http://schemas.openxmlformats.org/spreadsheetml/2006/main" count="595" uniqueCount="312">
  <si>
    <t>Revenues</t>
  </si>
  <si>
    <t>Sales</t>
  </si>
  <si>
    <t>Exchange gains</t>
  </si>
  <si>
    <t>Gain on derivatives</t>
  </si>
  <si>
    <t>Other income</t>
  </si>
  <si>
    <t>Total revenues</t>
  </si>
  <si>
    <t>Expenses</t>
  </si>
  <si>
    <t>Cost of sales</t>
  </si>
  <si>
    <t>Selling and distribution expenses</t>
  </si>
  <si>
    <t>Administrative expenses</t>
  </si>
  <si>
    <t>Exchange losses</t>
  </si>
  <si>
    <t>Loss on derivatives</t>
  </si>
  <si>
    <t xml:space="preserve">Total expenses </t>
  </si>
  <si>
    <t>Operating profit</t>
  </si>
  <si>
    <t>Finance income</t>
  </si>
  <si>
    <t>Finance cost</t>
  </si>
  <si>
    <t>Profit before income tax expense</t>
  </si>
  <si>
    <t>Tax expense</t>
  </si>
  <si>
    <t>Profit for the year</t>
  </si>
  <si>
    <t>Assets</t>
  </si>
  <si>
    <t>Current assets</t>
  </si>
  <si>
    <t>Cash and cash equivalents</t>
  </si>
  <si>
    <t>Trade and other receivables</t>
  </si>
  <si>
    <t>Inventories</t>
  </si>
  <si>
    <t>Advance payments for purchases of goods</t>
  </si>
  <si>
    <t>Input tax refundable</t>
  </si>
  <si>
    <t>Other current financial assets</t>
  </si>
  <si>
    <t>Other current assets</t>
  </si>
  <si>
    <t>Total current assets</t>
  </si>
  <si>
    <t>Non-current assets</t>
  </si>
  <si>
    <t>Restricted bank deposits</t>
  </si>
  <si>
    <t>Investments in subsidiaries</t>
  </si>
  <si>
    <t>Property, plant and equipment</t>
  </si>
  <si>
    <t>Deferred tax assets</t>
  </si>
  <si>
    <t>Goodwill</t>
  </si>
  <si>
    <t>Other intangible assets</t>
  </si>
  <si>
    <t>Advance payments for purchases of machinery</t>
  </si>
  <si>
    <t>Other non-current financial assets</t>
  </si>
  <si>
    <t>Other non-current assets</t>
  </si>
  <si>
    <t>Total non-current assets</t>
  </si>
  <si>
    <t>Total assets</t>
  </si>
  <si>
    <t>Liabilities and shareholders' equity</t>
  </si>
  <si>
    <t>Current liabilities</t>
  </si>
  <si>
    <t>Short-term loans from banks</t>
  </si>
  <si>
    <t>Trade and other payables</t>
  </si>
  <si>
    <t>Current portion of long-term loans from banks</t>
  </si>
  <si>
    <t>Current portion of lease liabilities</t>
  </si>
  <si>
    <t>Income tax payable</t>
  </si>
  <si>
    <t>Other current financial liabilities</t>
  </si>
  <si>
    <t>Other current liabilities</t>
  </si>
  <si>
    <t>Total current liabilities</t>
  </si>
  <si>
    <t>Non-current liabilities</t>
  </si>
  <si>
    <t xml:space="preserve">Long-term loans from related parties, net  </t>
  </si>
  <si>
    <t xml:space="preserve">   of current portion</t>
  </si>
  <si>
    <t xml:space="preserve">Long-term loans from banks, net  </t>
  </si>
  <si>
    <t>Lease liabilities, net of current portion</t>
  </si>
  <si>
    <t>Provision for long-term employee benefits</t>
  </si>
  <si>
    <t>Deferred tax liabilities</t>
  </si>
  <si>
    <t>Other non-current financial liabilities</t>
  </si>
  <si>
    <t>Other non-current liabilities</t>
  </si>
  <si>
    <t>Total non-current liabilities</t>
  </si>
  <si>
    <t>Total liabilities</t>
  </si>
  <si>
    <t>Shareholders' equity</t>
  </si>
  <si>
    <t>Share capital</t>
  </si>
  <si>
    <t xml:space="preserve">   Registered</t>
  </si>
  <si>
    <t xml:space="preserve">      900,000,000 ordinary shares of Baht 1 each</t>
  </si>
  <si>
    <t xml:space="preserve">   Issued and fully paid</t>
  </si>
  <si>
    <t>Share premium</t>
  </si>
  <si>
    <t>Retained earnings</t>
  </si>
  <si>
    <t xml:space="preserve">   Appropriated - statutory reserve</t>
  </si>
  <si>
    <t xml:space="preserve">   Unappropriated</t>
  </si>
  <si>
    <t>Other components of shareholders' equity</t>
  </si>
  <si>
    <t>Equity attributable to owners of the Company</t>
  </si>
  <si>
    <t>Non-controlling interests of the subsidiary</t>
  </si>
  <si>
    <t>Total shareholders' equity</t>
  </si>
  <si>
    <t>Total liabilities and shareholders' equity</t>
  </si>
  <si>
    <t>Check</t>
  </si>
  <si>
    <t>Cash flows from operating activities</t>
  </si>
  <si>
    <t>Profit before tax</t>
  </si>
  <si>
    <t xml:space="preserve">Adjustments to reconcile profit before tax to </t>
  </si>
  <si>
    <t xml:space="preserve">   net cash provided by (paid from) operating activities:</t>
  </si>
  <si>
    <t xml:space="preserve">   Depreciation and amortisation</t>
  </si>
  <si>
    <t xml:space="preserve">   Expected credit losses</t>
  </si>
  <si>
    <t xml:space="preserve">   Reduce (reverse) cost of inventories to net realisable value</t>
  </si>
  <si>
    <t xml:space="preserve">   Losses (gains) on disposals and write off of equipment </t>
  </si>
  <si>
    <t xml:space="preserve">      and vehicles</t>
  </si>
  <si>
    <t xml:space="preserve">   Losses on sales of investment in bonds</t>
  </si>
  <si>
    <t xml:space="preserve">   Gains on sales of investment in unit trusts</t>
  </si>
  <si>
    <t xml:space="preserve">   Losses on write off of intangible assets</t>
  </si>
  <si>
    <t xml:space="preserve">   Actuarial losses</t>
  </si>
  <si>
    <t xml:space="preserve">   Long-term employee benefits expenses</t>
  </si>
  <si>
    <t xml:space="preserve">   Unrealised gain on change in value of unit trust</t>
  </si>
  <si>
    <t xml:space="preserve">   Unrealised losses (gains) on exchange</t>
  </si>
  <si>
    <t xml:space="preserve">   Finance cost</t>
  </si>
  <si>
    <t xml:space="preserve">   Finance income</t>
  </si>
  <si>
    <t>Profit from operating activities before changes in</t>
  </si>
  <si>
    <t xml:space="preserve">   operating assets and liabilities</t>
  </si>
  <si>
    <t xml:space="preserve">Operating assets (increase) decrease </t>
  </si>
  <si>
    <t xml:space="preserve">   Trade and other receivables</t>
  </si>
  <si>
    <t xml:space="preserve">   Inventories </t>
  </si>
  <si>
    <t xml:space="preserve">   Other current assets</t>
  </si>
  <si>
    <t xml:space="preserve">   Other non-current assets </t>
  </si>
  <si>
    <t xml:space="preserve">Operating liabilities increase (decrease) </t>
  </si>
  <si>
    <t xml:space="preserve">   Trade and other payables</t>
  </si>
  <si>
    <t xml:space="preserve">   Other current liabilities </t>
  </si>
  <si>
    <t xml:space="preserve">   Payments of long-term employee benefits</t>
  </si>
  <si>
    <t>Cash from operating activities</t>
  </si>
  <si>
    <t xml:space="preserve">   Cash paid for corporate income tax</t>
  </si>
  <si>
    <t>Net cash from operating activities</t>
  </si>
  <si>
    <t>Cash flows from investing activities</t>
  </si>
  <si>
    <t>Cash received from interest</t>
  </si>
  <si>
    <t>Increase in restricted bank deposits</t>
  </si>
  <si>
    <t>Purchase of investment in unit trusts</t>
  </si>
  <si>
    <t>Proceeds from sales of investment in bonds</t>
  </si>
  <si>
    <t>Proceeds from sales of investment in unit trusts</t>
  </si>
  <si>
    <t>Purchase of investment in bonds</t>
  </si>
  <si>
    <t>Cash paid for share subsicription in a subsidiary</t>
  </si>
  <si>
    <t>Decrease (increase) in advance payments for purchases</t>
  </si>
  <si>
    <t xml:space="preserve">   of machinery and equipment</t>
  </si>
  <si>
    <t xml:space="preserve">Increase (decrease) in accounts payable for purchases  </t>
  </si>
  <si>
    <t>Proceeds from sales of equipment and vehicles</t>
  </si>
  <si>
    <t>Purchases of machinery and equipment</t>
  </si>
  <si>
    <t>Purchases of other intangible assets</t>
  </si>
  <si>
    <t>Net cash used in investing activities</t>
  </si>
  <si>
    <t>Cash flows from financing activities</t>
  </si>
  <si>
    <t>Increase (decrease) in short-term loans from banks</t>
  </si>
  <si>
    <t>Increase in long-term loan from related party</t>
  </si>
  <si>
    <t>Increase (decrease) in long-term loans from banks</t>
  </si>
  <si>
    <t>Cash received from shares subscription in subsidiary</t>
  </si>
  <si>
    <t>Payments of lease liabilities</t>
  </si>
  <si>
    <t>Cash paid for interest expenses</t>
  </si>
  <si>
    <t>Dividends paid</t>
  </si>
  <si>
    <t>Net cash from (used in) financing activities</t>
  </si>
  <si>
    <t>Increase in translation adjustment</t>
  </si>
  <si>
    <t>Net increase (decrease) in cash and cash equivalents</t>
  </si>
  <si>
    <t>Cash and cash equivalents at beginning of year</t>
  </si>
  <si>
    <t xml:space="preserve">Cash and cash equivalents at end of year </t>
  </si>
  <si>
    <t>Supplemental cash flows information:</t>
  </si>
  <si>
    <t>Non-cash transaction</t>
  </si>
  <si>
    <t xml:space="preserve">   Payable for purchase of machinery and equipment</t>
  </si>
  <si>
    <t xml:space="preserve">   Acquisitions of equipment under lease contracts</t>
  </si>
  <si>
    <t>Gain (loss) on change in value of investment in debt instruments</t>
  </si>
  <si>
    <t xml:space="preserve">   at fair value through other comprehensive income </t>
  </si>
  <si>
    <t xml:space="preserve">   - net of income tax</t>
  </si>
  <si>
    <t>Loss on sale of investment in debt instruments at fair value</t>
  </si>
  <si>
    <t xml:space="preserve">  through other comprehensive income recycling to profit or loss </t>
  </si>
  <si>
    <t xml:space="preserve">  - net of income tax</t>
  </si>
  <si>
    <t>Actuarial gains - net of income tax</t>
  </si>
  <si>
    <t>Reversal of impairment of investment</t>
  </si>
  <si>
    <t xml:space="preserve">   in subsidiary</t>
  </si>
  <si>
    <t>Reversal of impairment of property,</t>
  </si>
  <si>
    <t xml:space="preserve">   plant and equipment</t>
  </si>
  <si>
    <t xml:space="preserve">   Reversal of impairment of property, plant </t>
  </si>
  <si>
    <t xml:space="preserve">      and equipment</t>
  </si>
  <si>
    <t>Current investments</t>
  </si>
  <si>
    <t>LTM</t>
  </si>
  <si>
    <t>Profit for the period</t>
  </si>
  <si>
    <t>Bad debt recovered</t>
  </si>
  <si>
    <t>Sales Growth</t>
  </si>
  <si>
    <t>COGS Growth</t>
  </si>
  <si>
    <t>FFO Growth</t>
  </si>
  <si>
    <t>Cash Paid For Taxes</t>
  </si>
  <si>
    <t>month ended september</t>
  </si>
  <si>
    <t>For Period Ended March</t>
  </si>
  <si>
    <t>For 12 Month Period Ended September 2022</t>
  </si>
  <si>
    <t>2022 H1</t>
  </si>
  <si>
    <t>Gross Margin</t>
  </si>
  <si>
    <t>Net Margin</t>
  </si>
  <si>
    <t>ROE</t>
  </si>
  <si>
    <t>PTL - Polyplex</t>
  </si>
  <si>
    <t>A/R turnover</t>
  </si>
  <si>
    <t>2021 H1</t>
  </si>
  <si>
    <t>PTL - Comparables</t>
  </si>
  <si>
    <t>Market</t>
  </si>
  <si>
    <t>Main Business</t>
  </si>
  <si>
    <t>P/E</t>
  </si>
  <si>
    <t>P/BV</t>
  </si>
  <si>
    <t>Dividend Yield</t>
  </si>
  <si>
    <t>Ticker</t>
  </si>
  <si>
    <t>Name</t>
  </si>
  <si>
    <t>PTL</t>
  </si>
  <si>
    <t>SFLEX</t>
  </si>
  <si>
    <t>Starflex</t>
  </si>
  <si>
    <t>SET</t>
  </si>
  <si>
    <t>Packaging</t>
  </si>
  <si>
    <t>Flexible Packaging</t>
  </si>
  <si>
    <t>THIP</t>
  </si>
  <si>
    <t>Thantawan Industry</t>
  </si>
  <si>
    <t>BGC</t>
  </si>
  <si>
    <t>BG Container Glass</t>
  </si>
  <si>
    <t>Glass Packaging and Film</t>
  </si>
  <si>
    <t>SCGP</t>
  </si>
  <si>
    <t>SCG packaging</t>
  </si>
  <si>
    <t>TPBI</t>
  </si>
  <si>
    <t>Polyplex (Thailand)</t>
  </si>
  <si>
    <t>AJ</t>
  </si>
  <si>
    <t>AJ PLAST</t>
  </si>
  <si>
    <t>Biaxially Oriented Films</t>
  </si>
  <si>
    <t>Maximum</t>
  </si>
  <si>
    <t>75% percentile</t>
  </si>
  <si>
    <t>Median</t>
  </si>
  <si>
    <t>25% percentile</t>
  </si>
  <si>
    <t>Minimum</t>
  </si>
  <si>
    <t>Effective Tax</t>
  </si>
  <si>
    <t>(Baht Thousand)</t>
  </si>
  <si>
    <t>Actuals</t>
  </si>
  <si>
    <t>Forecasted</t>
  </si>
  <si>
    <t>% p.a.</t>
  </si>
  <si>
    <t>index</t>
  </si>
  <si>
    <t>Exchange Gains/Losses</t>
  </si>
  <si>
    <t>Derivatives Gains/Losses</t>
  </si>
  <si>
    <t>N/A</t>
  </si>
  <si>
    <t>Gross Margins</t>
  </si>
  <si>
    <t>SG</t>
  </si>
  <si>
    <t>A</t>
  </si>
  <si>
    <t>Average Cash in Period</t>
  </si>
  <si>
    <t>Finance Income</t>
  </si>
  <si>
    <t>% of Avg Cash in Period</t>
  </si>
  <si>
    <t>Current Investments</t>
  </si>
  <si>
    <t>Investments in Subsidiaries</t>
  </si>
  <si>
    <t>Other Intangible Assets</t>
  </si>
  <si>
    <t>Taxes</t>
  </si>
  <si>
    <t>Income Tax</t>
  </si>
  <si>
    <t>Tax payable</t>
  </si>
  <si>
    <t>% of EBT</t>
  </si>
  <si>
    <t>% of Tax</t>
  </si>
  <si>
    <t>Provision in Long Term Employee Benefits</t>
  </si>
  <si>
    <t>% growth p.a</t>
  </si>
  <si>
    <t>Other Compenents of Shareholder Equity</t>
  </si>
  <si>
    <t>Non controlling Interest of Subsidiary</t>
  </si>
  <si>
    <t>% growth</t>
  </si>
  <si>
    <t>Depreciation</t>
  </si>
  <si>
    <t>Ammortization</t>
  </si>
  <si>
    <t>CAPEX</t>
  </si>
  <si>
    <t>Working Capital Adjustments</t>
  </si>
  <si>
    <t>Increase (Decrease) in Long Term loans from banks</t>
  </si>
  <si>
    <t>Increase (Decrease) in lease liabilities</t>
  </si>
  <si>
    <t>PPE</t>
  </si>
  <si>
    <t>PPE at beginning of period</t>
  </si>
  <si>
    <t>% of PPE at beginning of period</t>
  </si>
  <si>
    <t>as a % of beginning PPE</t>
  </si>
  <si>
    <t>% of CAPEX</t>
  </si>
  <si>
    <t>as a % of CAPEX</t>
  </si>
  <si>
    <t>Dividends</t>
  </si>
  <si>
    <t>% of Net Income</t>
  </si>
  <si>
    <t>Retained Earnings at End of Period</t>
  </si>
  <si>
    <t>Retained Earnings at Beginning of Period</t>
  </si>
  <si>
    <t>Cash at Beginning of Year</t>
  </si>
  <si>
    <t>Retained Eanings Before Dividends</t>
  </si>
  <si>
    <t>Revolver</t>
  </si>
  <si>
    <t>Minimum cash requirement</t>
  </si>
  <si>
    <t>Thousand THB needed</t>
  </si>
  <si>
    <t>Cash at end of period before borrowing</t>
  </si>
  <si>
    <t>ST debt</t>
  </si>
  <si>
    <t>Net cash from (used in) financing activities before borrowing</t>
  </si>
  <si>
    <t>% of CAPEX financed by LT debt</t>
  </si>
  <si>
    <t>years tenure</t>
  </si>
  <si>
    <t>Payment Schedule</t>
  </si>
  <si>
    <t>Loans paid during period</t>
  </si>
  <si>
    <t>Payment Schedule for Loan Taken in Year:</t>
  </si>
  <si>
    <t>LT Loans outstanding</t>
  </si>
  <si>
    <t>Beginning Current Portion of LT loans in 2023</t>
  </si>
  <si>
    <t>Current portion of LT loans</t>
  </si>
  <si>
    <t>LT Loans net of current portion of LT loans</t>
  </si>
  <si>
    <t>LT loans to Finance CAPEX</t>
  </si>
  <si>
    <t>LT Loans to finance CAPEX</t>
  </si>
  <si>
    <t>Net Profit before Finance income and expenses</t>
  </si>
  <si>
    <t>EBIT</t>
  </si>
  <si>
    <t>ST debt at beginning of period</t>
  </si>
  <si>
    <t>Change in Revolver Debt</t>
  </si>
  <si>
    <t>Weighted Average Cost of Capital</t>
  </si>
  <si>
    <t>Equity</t>
  </si>
  <si>
    <t>Debt</t>
  </si>
  <si>
    <t>Tax Rate</t>
  </si>
  <si>
    <t>Risk Free Rate</t>
  </si>
  <si>
    <t>Expected Market Return</t>
  </si>
  <si>
    <t>Market Risk Premium</t>
  </si>
  <si>
    <t>Levered Beta</t>
  </si>
  <si>
    <t>E/(D+E)</t>
  </si>
  <si>
    <t>D/(D+E)</t>
  </si>
  <si>
    <t>Cost of Debt</t>
  </si>
  <si>
    <t>Cost of Equity</t>
  </si>
  <si>
    <t>WACC</t>
  </si>
  <si>
    <t>Unlevered Cash Flows</t>
  </si>
  <si>
    <t>Present Value of Forecasted Cashflows</t>
  </si>
  <si>
    <t>Growth Rate</t>
  </si>
  <si>
    <t>Terminal Value</t>
  </si>
  <si>
    <t>PV of Terminal Value</t>
  </si>
  <si>
    <t>Present Value of FCF</t>
  </si>
  <si>
    <t>Enterprise Value</t>
  </si>
  <si>
    <t>(+) Cash</t>
  </si>
  <si>
    <t>(-) Minority Interest</t>
  </si>
  <si>
    <t>Equity Value</t>
  </si>
  <si>
    <t>Implied Share Price</t>
  </si>
  <si>
    <t>% revenue</t>
  </si>
  <si>
    <t>(random assumption)</t>
  </si>
  <si>
    <t>Period</t>
  </si>
  <si>
    <t>Beginning Cash and Cash before Finance Inc/Exp</t>
  </si>
  <si>
    <t>FCF</t>
  </si>
  <si>
    <t>Thousand THB</t>
  </si>
  <si>
    <t>Unlevered Free Cash Flow</t>
  </si>
  <si>
    <t>Shares Outstanding (in thousands)</t>
  </si>
  <si>
    <t>Sensitivity</t>
  </si>
  <si>
    <t>Working Capital</t>
  </si>
  <si>
    <t>Accounts Receivable</t>
  </si>
  <si>
    <t>Inventory</t>
  </si>
  <si>
    <t>Accounts Payable</t>
  </si>
  <si>
    <t>Net Profit before financing</t>
  </si>
  <si>
    <t>Finance Cost</t>
  </si>
  <si>
    <t>% of Loans Outstanding</t>
  </si>
  <si>
    <t>Finance Cost as a % of Loans Outstanding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</si>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</sst>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_(* #,##0.00_);_(* \(#,##0.00\);_(* &quot;-&quot;_);_(@_)"/>
    <numFmt numFmtId="165" formatCode="_(* #,##0.000_);_(* \(#,##0.000\);_(* &quot;-&quot;_);_(@_)"/>
    <numFmt numFmtId="166" formatCode="0.0%"/>
    <numFmt numFmtId="167" formatCode="_(* #,##0_);_(* \(#,##0\);_(* &quot;-&quot;??_);_(@_)"/>
    <numFmt numFmtId="168" formatCode="0.00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6"/>
      <name val="Calibri"/>
      <family val="2"/>
      <scheme val="minor"/>
    </font>
    <font>
      <b/>
      <sz val="12"/>
      <color theme="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5">
    <xf numFmtId="0" fontId="0" fillId="0" borderId="0" xfId="0"/>
    <xf numFmtId="37" fontId="0" fillId="0" borderId="0" xfId="0" applyNumberFormat="1"/>
    <xf numFmtId="41" fontId="0" fillId="0" borderId="0" xfId="0" applyNumberFormat="1"/>
    <xf numFmtId="0" fontId="1" fillId="0" borderId="0" xfId="0" applyFont="1"/>
    <xf numFmtId="41" fontId="1" fillId="0" borderId="0" xfId="0" applyNumberFormat="1" applyFont="1"/>
    <xf numFmtId="0" fontId="1" fillId="2" borderId="0" xfId="0" applyFont="1" applyFill="1"/>
    <xf numFmtId="41" fontId="0" fillId="2" borderId="0" xfId="0" applyNumberFormat="1" applyFill="1"/>
    <xf numFmtId="41" fontId="2" fillId="0" borderId="0" xfId="0" applyNumberFormat="1" applyFont="1"/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166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6" fontId="0" fillId="0" borderId="0" xfId="0" applyNumberFormat="1"/>
    <xf numFmtId="0" fontId="4" fillId="3" borderId="0" xfId="0" applyFont="1" applyFill="1"/>
    <xf numFmtId="49" fontId="0" fillId="0" borderId="0" xfId="0" applyNumberFormat="1" applyAlignment="1">
      <alignment horizontal="centerContinuous"/>
    </xf>
    <xf numFmtId="9" fontId="0" fillId="0" borderId="0" xfId="0" applyNumberFormat="1"/>
    <xf numFmtId="9" fontId="2" fillId="0" borderId="0" xfId="0" applyNumberFormat="1" applyFont="1"/>
    <xf numFmtId="0" fontId="2" fillId="0" borderId="0" xfId="0" applyFont="1"/>
    <xf numFmtId="41" fontId="0" fillId="0" borderId="0" xfId="0" applyNumberFormat="1" applyAlignment="1">
      <alignment horizontal="centerContinuous"/>
    </xf>
    <xf numFmtId="167" fontId="0" fillId="0" borderId="0" xfId="0" applyNumberFormat="1"/>
    <xf numFmtId="167" fontId="0" fillId="0" borderId="0" xfId="1" applyNumberFormat="1" applyFont="1"/>
    <xf numFmtId="41" fontId="0" fillId="4" borderId="0" xfId="0" applyNumberFormat="1" applyFill="1"/>
    <xf numFmtId="0" fontId="0" fillId="0" borderId="0" xfId="0" applyAlignment="1">
      <alignment horizontal="left"/>
    </xf>
    <xf numFmtId="9" fontId="2" fillId="0" borderId="0" xfId="1" applyFont="1"/>
    <xf numFmtId="0" fontId="0" fillId="2" borderId="0" xfId="0" applyFill="1"/>
    <xf numFmtId="9" fontId="0" fillId="2" borderId="0" xfId="1" applyFont="1" applyFill="1"/>
    <xf numFmtId="9" fontId="0" fillId="2" borderId="0" xfId="1" applyFont="1" applyFill="1" applyBorder="1"/>
    <xf numFmtId="167" fontId="0" fillId="2" borderId="0" xfId="0" applyNumberFormat="1" applyFill="1"/>
    <xf numFmtId="0" fontId="0" fillId="5" borderId="0" xfId="0" applyFill="1"/>
    <xf numFmtId="41" fontId="0" fillId="2" borderId="1" xfId="0" applyNumberFormat="1" applyFill="1" applyBorder="1"/>
    <xf numFmtId="167" fontId="0" fillId="0" borderId="1" xfId="0" applyNumberFormat="1" applyBorder="1"/>
    <xf numFmtId="0" fontId="6" fillId="0" borderId="0" xfId="0" applyFont="1" applyAlignment="1">
      <alignment horizontal="left" indent="1"/>
    </xf>
    <xf numFmtId="0" fontId="6" fillId="0" borderId="0" xfId="0" applyFont="1"/>
    <xf numFmtId="0" fontId="6" fillId="2" borderId="0" xfId="0" applyFont="1" applyFill="1"/>
    <xf numFmtId="9" fontId="6" fillId="2" borderId="0" xfId="1" applyFont="1" applyFill="1"/>
    <xf numFmtId="9" fontId="6" fillId="2" borderId="0" xfId="1" applyFont="1" applyFill="1" applyBorder="1"/>
    <xf numFmtId="9" fontId="6" fillId="0" borderId="0" xfId="1" applyFont="1"/>
    <xf numFmtId="41" fontId="6" fillId="2" borderId="0" xfId="0" applyNumberFormat="1" applyFont="1" applyFill="1"/>
    <xf numFmtId="0" fontId="0" fillId="6" borderId="0" xfId="0" applyFill="1" applyAlignment="1">
      <alignment horizontal="centerContinuous"/>
    </xf>
    <xf numFmtId="0" fontId="0" fillId="7" borderId="0" xfId="0" applyFill="1"/>
    <xf numFmtId="41" fontId="0" fillId="7" borderId="0" xfId="0" applyNumberFormat="1" applyFill="1"/>
    <xf numFmtId="9" fontId="0" fillId="7" borderId="0" xfId="1" applyFont="1" applyFill="1"/>
    <xf numFmtId="9" fontId="0" fillId="7" borderId="0" xfId="0" applyNumberFormat="1" applyFill="1"/>
    <xf numFmtId="10" fontId="0" fillId="7" borderId="0" xfId="1" applyNumberFormat="1" applyFont="1" applyFill="1"/>
    <xf numFmtId="10" fontId="0" fillId="7" borderId="0" xfId="0" applyNumberFormat="1" applyFill="1"/>
    <xf numFmtId="168" fontId="0" fillId="7" borderId="0" xfId="0" applyNumberFormat="1" applyFill="1"/>
    <xf numFmtId="41" fontId="0" fillId="8" borderId="0" xfId="0" applyNumberFormat="1" applyFill="1"/>
    <xf numFmtId="0" fontId="0" fillId="5" borderId="0" xfId="0" applyFill="1" applyAlignment="1">
      <alignment horizontal="centerContinuous"/>
    </xf>
    <xf numFmtId="0" fontId="0" fillId="8" borderId="0" xfId="0" applyFill="1"/>
    <xf numFmtId="0" fontId="1" fillId="8" borderId="0" xfId="0" applyFont="1" applyFill="1"/>
    <xf numFmtId="0" fontId="0" fillId="8" borderId="2" xfId="0" applyFill="1" applyBorder="1"/>
    <xf numFmtId="166" fontId="0" fillId="7" borderId="0" xfId="1" applyNumberFormat="1" applyFont="1" applyFill="1"/>
    <xf numFmtId="166" fontId="0" fillId="7" borderId="0" xfId="0" applyNumberFormat="1" applyFill="1"/>
    <xf numFmtId="0" fontId="0" fillId="7" borderId="2" xfId="0" applyFill="1" applyBorder="1"/>
    <xf numFmtId="0" fontId="1" fillId="7" borderId="0" xfId="0" applyFont="1" applyFill="1"/>
    <xf numFmtId="0" fontId="7" fillId="9" borderId="0" xfId="0" applyFont="1" applyFill="1"/>
    <xf numFmtId="41" fontId="7" fillId="9" borderId="0" xfId="0" applyNumberFormat="1" applyFont="1" applyFill="1"/>
    <xf numFmtId="168" fontId="0" fillId="5" borderId="0" xfId="0" applyNumberFormat="1" applyFill="1"/>
    <xf numFmtId="166" fontId="0" fillId="5" borderId="0" xfId="0" applyNumberFormat="1" applyFill="1"/>
    <xf numFmtId="167" fontId="0" fillId="8" borderId="0" xfId="0" applyNumberFormat="1" applyFill="1"/>
    <xf numFmtId="37" fontId="1" fillId="0" borderId="0" xfId="0" applyNumberFormat="1" applyFont="1"/>
    <xf numFmtId="0" fontId="5" fillId="0" borderId="0" xfId="0" applyFont="1"/>
    <xf numFmtId="41" fontId="1" fillId="2" borderId="0" xfId="0" applyNumberFormat="1" applyFont="1" applyFill="1"/>
    <xf numFmtId="1" fontId="6" fillId="0" borderId="0" xfId="1" applyNumberFormat="1" applyFont="1"/>
    <xf numFmtId="1" fontId="6" fillId="2" borderId="0" xfId="1" applyNumberFormat="1" applyFont="1" applyFill="1"/>
    <xf numFmtId="41" fontId="0" fillId="2" borderId="0" xfId="1" applyNumberFormat="1" applyFont="1" applyFill="1"/>
    <xf numFmtId="10" fontId="2" fillId="0" borderId="0" xfId="0" applyNumberFormat="1" applyFont="1"/>
    <xf numFmtId="0" fontId="8" fillId="8" borderId="0" xfId="0" applyFont="1" applyFill="1"/>
    <xf numFmtId="0" fontId="8" fillId="0" borderId="0" xfId="0" applyFont="1"/>
    <xf numFmtId="9" fontId="8" fillId="0" borderId="0" xfId="0" applyNumberFormat="1" applyFont="1"/>
    <xf numFmtId="0" fontId="9" fillId="0" borderId="0" xfId="0" applyFont="1"/>
    <xf numFmtId="165" fontId="8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E9EF-FE23-2A46-B02F-F63B6D1EFFFD}">
  <dimension ref="A1:L188"/>
  <sheetViews>
    <sheetView workbookViewId="0"/>
  </sheetViews>
  <sheetFormatPr baseColWidth="10" defaultRowHeight="16" x14ac:dyDescent="0.2"/>
  <cols>
    <col min="1" max="1" width="55.33203125" bestFit="1" customWidth="1"/>
    <col min="2" max="7" width="15" style="2" bestFit="1" customWidth="1"/>
    <col min="10" max="10" width="55.33203125" bestFit="1" customWidth="1"/>
    <col min="11" max="12" width="15" style="2" bestFit="1" customWidth="1"/>
  </cols>
  <sheetData>
    <row r="1" spans="1:12" x14ac:dyDescent="0.2">
      <c r="A1">
        <v>7</v>
      </c>
      <c r="B1" s="7" t="s">
        <v>155</v>
      </c>
      <c r="C1" s="7">
        <v>2022</v>
      </c>
      <c r="D1" s="7">
        <v>2021</v>
      </c>
      <c r="E1" s="7">
        <v>2020</v>
      </c>
      <c r="F1" s="7">
        <v>2019</v>
      </c>
      <c r="G1" s="7">
        <v>2018</v>
      </c>
      <c r="K1" s="2" t="s">
        <v>165</v>
      </c>
      <c r="L1" s="2" t="s">
        <v>171</v>
      </c>
    </row>
    <row r="2" spans="1:12" x14ac:dyDescent="0.2">
      <c r="A2" t="s">
        <v>169</v>
      </c>
      <c r="B2" s="7" t="s">
        <v>164</v>
      </c>
      <c r="C2" s="7" t="s">
        <v>163</v>
      </c>
      <c r="D2" s="7"/>
      <c r="E2" s="7"/>
      <c r="F2" s="7"/>
      <c r="G2" s="7"/>
      <c r="H2" t="s">
        <v>204</v>
      </c>
      <c r="K2" s="7" t="s">
        <v>162</v>
      </c>
      <c r="L2" s="7"/>
    </row>
    <row r="3" spans="1:12" x14ac:dyDescent="0.2">
      <c r="A3" s="5" t="s">
        <v>19</v>
      </c>
      <c r="B3" s="6"/>
      <c r="C3" s="6"/>
      <c r="D3" s="6"/>
      <c r="E3" s="6"/>
      <c r="F3" s="6"/>
      <c r="G3" s="6"/>
      <c r="J3" s="5" t="s">
        <v>19</v>
      </c>
      <c r="K3" s="6"/>
      <c r="L3" s="6"/>
    </row>
    <row r="4" spans="1:12" x14ac:dyDescent="0.2">
      <c r="A4" s="3" t="s">
        <v>20</v>
      </c>
      <c r="J4" s="3" t="s">
        <v>20</v>
      </c>
    </row>
    <row r="5" spans="1:12" x14ac:dyDescent="0.2">
      <c r="A5" t="s">
        <v>21</v>
      </c>
      <c r="B5" s="2">
        <f t="shared" ref="B5" si="0">B161</f>
        <v>2334022.3410000019</v>
      </c>
      <c r="C5" s="2">
        <f>C161</f>
        <v>2201407.7090000045</v>
      </c>
      <c r="D5" s="2">
        <f>D161</f>
        <v>1719861.3680000021</v>
      </c>
      <c r="E5" s="2">
        <f>E161</f>
        <v>1204345.8850000007</v>
      </c>
      <c r="F5" s="2">
        <f>F161</f>
        <v>855993.26699999906</v>
      </c>
      <c r="G5" s="2">
        <f>G161</f>
        <v>1330113.8039999998</v>
      </c>
      <c r="J5" t="s">
        <v>21</v>
      </c>
      <c r="K5" s="2">
        <f>K161</f>
        <v>2334023</v>
      </c>
      <c r="L5" s="2">
        <f>L161</f>
        <v>2274919</v>
      </c>
    </row>
    <row r="6" spans="1:12" x14ac:dyDescent="0.2">
      <c r="A6" t="s">
        <v>154</v>
      </c>
      <c r="B6" s="7">
        <f t="shared" ref="B6:B37" si="1">K6</f>
        <v>0</v>
      </c>
      <c r="C6" s="7">
        <v>0</v>
      </c>
      <c r="D6" s="7">
        <v>0</v>
      </c>
      <c r="E6" s="7">
        <v>0</v>
      </c>
      <c r="F6" s="7">
        <v>13177.907999999999</v>
      </c>
      <c r="G6" s="7">
        <v>4500</v>
      </c>
      <c r="J6" t="s">
        <v>154</v>
      </c>
      <c r="K6" s="7"/>
      <c r="L6" s="7"/>
    </row>
    <row r="7" spans="1:12" x14ac:dyDescent="0.2">
      <c r="A7" t="s">
        <v>22</v>
      </c>
      <c r="B7" s="7">
        <f t="shared" si="1"/>
        <v>4714152</v>
      </c>
      <c r="C7" s="7">
        <v>4035308.6340000001</v>
      </c>
      <c r="D7" s="7">
        <v>2267684.449</v>
      </c>
      <c r="E7" s="7">
        <v>2411111.949</v>
      </c>
      <c r="F7" s="7">
        <v>2119815.66</v>
      </c>
      <c r="G7" s="7">
        <v>1999596.7350000001</v>
      </c>
      <c r="J7" t="s">
        <v>22</v>
      </c>
      <c r="K7" s="7">
        <v>4714152</v>
      </c>
      <c r="L7" s="7">
        <v>3128097</v>
      </c>
    </row>
    <row r="8" spans="1:12" x14ac:dyDescent="0.2">
      <c r="A8" t="s">
        <v>23</v>
      </c>
      <c r="B8" s="7">
        <f t="shared" si="1"/>
        <v>6199674</v>
      </c>
      <c r="C8" s="7">
        <v>5043353.2709999997</v>
      </c>
      <c r="D8" s="7">
        <v>2887121.3089999999</v>
      </c>
      <c r="E8" s="7">
        <v>2353854.227</v>
      </c>
      <c r="F8" s="7">
        <v>2338039.7620000001</v>
      </c>
      <c r="G8" s="7">
        <v>2112063.9670000002</v>
      </c>
      <c r="J8" t="s">
        <v>23</v>
      </c>
      <c r="K8" s="7">
        <v>6199674</v>
      </c>
      <c r="L8" s="7">
        <v>3954681</v>
      </c>
    </row>
    <row r="9" spans="1:12" x14ac:dyDescent="0.2">
      <c r="A9" t="s">
        <v>24</v>
      </c>
      <c r="B9" s="7">
        <f t="shared" si="1"/>
        <v>237907</v>
      </c>
      <c r="C9" s="7">
        <v>215619.88500000001</v>
      </c>
      <c r="D9" s="7">
        <v>63263.64</v>
      </c>
      <c r="E9" s="7">
        <v>64811.811999999998</v>
      </c>
      <c r="F9" s="7">
        <v>189162.92600000001</v>
      </c>
      <c r="G9" s="7">
        <v>19029.034</v>
      </c>
      <c r="J9" t="s">
        <v>24</v>
      </c>
      <c r="K9" s="7">
        <v>237907</v>
      </c>
      <c r="L9" s="7">
        <v>119563</v>
      </c>
    </row>
    <row r="10" spans="1:12" x14ac:dyDescent="0.2">
      <c r="A10" t="s">
        <v>25</v>
      </c>
      <c r="B10" s="7">
        <f t="shared" si="1"/>
        <v>235237</v>
      </c>
      <c r="C10" s="7">
        <v>142657.99900000001</v>
      </c>
      <c r="D10" s="7">
        <v>191658.48499999999</v>
      </c>
      <c r="E10" s="7">
        <v>205974.546</v>
      </c>
      <c r="F10" s="7">
        <v>99760.618000000002</v>
      </c>
      <c r="G10" s="7">
        <v>106809.12699999999</v>
      </c>
      <c r="J10" t="s">
        <v>25</v>
      </c>
      <c r="K10" s="7">
        <v>235237</v>
      </c>
      <c r="L10" s="7">
        <v>299058</v>
      </c>
    </row>
    <row r="11" spans="1:12" x14ac:dyDescent="0.2">
      <c r="A11" t="s">
        <v>26</v>
      </c>
      <c r="B11" s="7">
        <f t="shared" si="1"/>
        <v>249236</v>
      </c>
      <c r="C11" s="7">
        <v>72051.991999999998</v>
      </c>
      <c r="D11" s="7">
        <v>151396.07</v>
      </c>
      <c r="E11" s="7">
        <v>0</v>
      </c>
      <c r="F11" s="7">
        <v>0</v>
      </c>
      <c r="G11" s="7">
        <v>0</v>
      </c>
      <c r="J11" t="s">
        <v>26</v>
      </c>
      <c r="K11" s="7">
        <v>249236</v>
      </c>
      <c r="L11" s="7">
        <v>77721</v>
      </c>
    </row>
    <row r="12" spans="1:12" x14ac:dyDescent="0.2">
      <c r="A12" t="s">
        <v>27</v>
      </c>
      <c r="B12" s="7">
        <f t="shared" si="1"/>
        <v>193630</v>
      </c>
      <c r="C12" s="7">
        <v>93183.914000000004</v>
      </c>
      <c r="D12" s="7">
        <v>91902.434999999998</v>
      </c>
      <c r="E12" s="7">
        <v>125437.114</v>
      </c>
      <c r="F12" s="7">
        <v>100218.692</v>
      </c>
      <c r="G12" s="7">
        <v>80144.311000000002</v>
      </c>
      <c r="J12" t="s">
        <v>27</v>
      </c>
      <c r="K12" s="7">
        <v>193630</v>
      </c>
      <c r="L12" s="7">
        <v>102680</v>
      </c>
    </row>
    <row r="13" spans="1:12" x14ac:dyDescent="0.2">
      <c r="A13" s="3" t="s">
        <v>28</v>
      </c>
      <c r="B13" s="4">
        <f t="shared" si="1"/>
        <v>14163859</v>
      </c>
      <c r="C13" s="4">
        <f>SUM(C5:C12)</f>
        <v>11803583.404000005</v>
      </c>
      <c r="D13" s="4">
        <f t="shared" ref="D13:G13" si="2">SUM(D5:D12)</f>
        <v>7372887.7560000019</v>
      </c>
      <c r="E13" s="4">
        <f t="shared" si="2"/>
        <v>6365535.5330000008</v>
      </c>
      <c r="F13" s="4">
        <f t="shared" si="2"/>
        <v>5716168.8329999987</v>
      </c>
      <c r="G13" s="4">
        <f t="shared" si="2"/>
        <v>5652256.9780000001</v>
      </c>
      <c r="J13" s="3" t="s">
        <v>28</v>
      </c>
      <c r="K13" s="4">
        <f>SUM(K5:K12)</f>
        <v>14163859</v>
      </c>
      <c r="L13" s="4">
        <f>SUM(L5:L12)</f>
        <v>9956719</v>
      </c>
    </row>
    <row r="14" spans="1:12" x14ac:dyDescent="0.2">
      <c r="A14" s="3" t="s">
        <v>29</v>
      </c>
      <c r="B14" s="2">
        <f t="shared" si="1"/>
        <v>0</v>
      </c>
      <c r="J14" s="3" t="s">
        <v>29</v>
      </c>
    </row>
    <row r="15" spans="1:12" x14ac:dyDescent="0.2">
      <c r="A15" t="s">
        <v>30</v>
      </c>
      <c r="B15" s="7">
        <f t="shared" si="1"/>
        <v>23406</v>
      </c>
      <c r="C15" s="7">
        <v>22363.111000000001</v>
      </c>
      <c r="D15" s="7">
        <v>10910.348</v>
      </c>
      <c r="E15" s="7">
        <v>9742.8690000000006</v>
      </c>
      <c r="F15" s="7">
        <v>64414.084999999999</v>
      </c>
      <c r="G15" s="7">
        <v>9069.7019999999993</v>
      </c>
      <c r="J15" t="s">
        <v>30</v>
      </c>
      <c r="K15" s="7">
        <v>23406</v>
      </c>
      <c r="L15" s="7">
        <v>11696</v>
      </c>
    </row>
    <row r="16" spans="1:12" x14ac:dyDescent="0.2">
      <c r="A16" t="s">
        <v>31</v>
      </c>
      <c r="B16" s="7">
        <f t="shared" si="1"/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J16" t="s">
        <v>31</v>
      </c>
      <c r="K16" s="7">
        <v>0</v>
      </c>
      <c r="L16" s="7">
        <v>0</v>
      </c>
    </row>
    <row r="17" spans="1:12" x14ac:dyDescent="0.2">
      <c r="A17" t="s">
        <v>32</v>
      </c>
      <c r="B17" s="7">
        <f t="shared" si="1"/>
        <v>13837796</v>
      </c>
      <c r="C17" s="7">
        <v>12904704.338</v>
      </c>
      <c r="D17" s="7">
        <v>11720628.345000001</v>
      </c>
      <c r="E17" s="7">
        <v>10706220.278999999</v>
      </c>
      <c r="F17" s="7">
        <v>9526865.5500000007</v>
      </c>
      <c r="G17" s="7">
        <v>9062496.5979999993</v>
      </c>
      <c r="J17" t="s">
        <v>32</v>
      </c>
      <c r="K17" s="7">
        <v>13837796</v>
      </c>
      <c r="L17" s="7">
        <v>13021342</v>
      </c>
    </row>
    <row r="18" spans="1:12" x14ac:dyDescent="0.2">
      <c r="A18" t="s">
        <v>33</v>
      </c>
      <c r="B18" s="7">
        <f t="shared" si="1"/>
        <v>110839</v>
      </c>
      <c r="C18" s="7">
        <v>73711.077000000005</v>
      </c>
      <c r="D18" s="7">
        <v>15961.194</v>
      </c>
      <c r="E18" s="7">
        <v>76540.884999999995</v>
      </c>
      <c r="F18" s="7">
        <v>150167.723</v>
      </c>
      <c r="G18" s="7">
        <v>147657.44899999999</v>
      </c>
      <c r="J18" t="s">
        <v>33</v>
      </c>
      <c r="K18" s="7">
        <v>110839</v>
      </c>
      <c r="L18" s="7">
        <v>61138</v>
      </c>
    </row>
    <row r="19" spans="1:12" x14ac:dyDescent="0.2">
      <c r="A19" t="s">
        <v>34</v>
      </c>
      <c r="B19" s="7">
        <f t="shared" si="1"/>
        <v>3164</v>
      </c>
      <c r="C19" s="7">
        <v>3164.328</v>
      </c>
      <c r="D19" s="7">
        <v>3164.328</v>
      </c>
      <c r="E19" s="7">
        <v>3164.328</v>
      </c>
      <c r="F19" s="7">
        <v>3164.328</v>
      </c>
      <c r="G19" s="7">
        <v>3164.328</v>
      </c>
      <c r="J19" t="s">
        <v>34</v>
      </c>
      <c r="K19" s="7">
        <v>3164</v>
      </c>
      <c r="L19" s="7">
        <v>3164</v>
      </c>
    </row>
    <row r="20" spans="1:12" x14ac:dyDescent="0.2">
      <c r="A20" t="s">
        <v>35</v>
      </c>
      <c r="B20" s="7">
        <f t="shared" si="1"/>
        <v>197</v>
      </c>
      <c r="C20" s="7">
        <v>153.86699999999999</v>
      </c>
      <c r="D20" s="7">
        <v>531.20299999999997</v>
      </c>
      <c r="E20" s="7">
        <v>1306.74</v>
      </c>
      <c r="F20" s="7">
        <v>2234.3159999999998</v>
      </c>
      <c r="G20" s="7">
        <v>3248.875</v>
      </c>
      <c r="J20" t="s">
        <v>35</v>
      </c>
      <c r="K20" s="7">
        <v>197</v>
      </c>
      <c r="L20" s="7">
        <v>345</v>
      </c>
    </row>
    <row r="21" spans="1:12" x14ac:dyDescent="0.2">
      <c r="A21" t="s">
        <v>36</v>
      </c>
      <c r="B21" s="7">
        <f t="shared" si="1"/>
        <v>472649</v>
      </c>
      <c r="C21" s="7">
        <v>419732.45</v>
      </c>
      <c r="D21" s="7">
        <v>561672.95499999996</v>
      </c>
      <c r="E21" s="7">
        <v>311466.30699999997</v>
      </c>
      <c r="F21" s="7">
        <v>370657.35600000003</v>
      </c>
      <c r="G21" s="7">
        <v>247136.90299999999</v>
      </c>
      <c r="J21" t="s">
        <v>36</v>
      </c>
      <c r="K21" s="7">
        <v>472649</v>
      </c>
      <c r="L21" s="7">
        <v>420750</v>
      </c>
    </row>
    <row r="22" spans="1:12" x14ac:dyDescent="0.2">
      <c r="A22" t="s">
        <v>37</v>
      </c>
      <c r="B22" s="7">
        <f t="shared" si="1"/>
        <v>362729</v>
      </c>
      <c r="C22" s="7">
        <v>312827.68800000002</v>
      </c>
      <c r="D22" s="7">
        <v>245226.25399999999</v>
      </c>
      <c r="E22" s="7">
        <v>0</v>
      </c>
      <c r="F22" s="7">
        <v>0</v>
      </c>
      <c r="G22" s="7">
        <v>0</v>
      </c>
      <c r="J22" t="s">
        <v>37</v>
      </c>
      <c r="K22" s="7">
        <v>362729</v>
      </c>
      <c r="L22" s="7">
        <v>297408</v>
      </c>
    </row>
    <row r="23" spans="1:12" x14ac:dyDescent="0.2">
      <c r="A23" t="s">
        <v>38</v>
      </c>
      <c r="B23" s="7">
        <f t="shared" si="1"/>
        <v>19460</v>
      </c>
      <c r="C23" s="7">
        <v>21641.159</v>
      </c>
      <c r="D23" s="7">
        <v>98351.955000000002</v>
      </c>
      <c r="E23" s="7">
        <v>16110.031999999999</v>
      </c>
      <c r="F23" s="7">
        <v>17039.699000000001</v>
      </c>
      <c r="G23" s="7">
        <v>11464.182000000001</v>
      </c>
      <c r="J23" t="s">
        <v>38</v>
      </c>
      <c r="K23" s="7">
        <v>19460</v>
      </c>
      <c r="L23" s="7">
        <v>25739</v>
      </c>
    </row>
    <row r="24" spans="1:12" x14ac:dyDescent="0.2">
      <c r="A24" s="3" t="s">
        <v>39</v>
      </c>
      <c r="B24" s="4">
        <f t="shared" si="1"/>
        <v>14830240</v>
      </c>
      <c r="C24" s="4">
        <f>SUM(C15:C23)</f>
        <v>13758298.017999997</v>
      </c>
      <c r="D24" s="4">
        <f t="shared" ref="D24:G24" si="3">SUM(D15:D23)</f>
        <v>12656446.582</v>
      </c>
      <c r="E24" s="4">
        <f t="shared" si="3"/>
        <v>11124551.439999999</v>
      </c>
      <c r="F24" s="4">
        <f t="shared" si="3"/>
        <v>10134543.057</v>
      </c>
      <c r="G24" s="4">
        <f t="shared" si="3"/>
        <v>9484238.0369999986</v>
      </c>
      <c r="J24" s="3" t="s">
        <v>39</v>
      </c>
      <c r="K24" s="4">
        <f>SUM(K15:K23)</f>
        <v>14830240</v>
      </c>
      <c r="L24" s="4">
        <f>SUM(L15:L23)</f>
        <v>13841582</v>
      </c>
    </row>
    <row r="25" spans="1:12" x14ac:dyDescent="0.2">
      <c r="A25" s="3" t="s">
        <v>40</v>
      </c>
      <c r="B25" s="4">
        <f t="shared" si="1"/>
        <v>28994099</v>
      </c>
      <c r="C25" s="4">
        <f>SUM(C24,C13)</f>
        <v>25561881.422000002</v>
      </c>
      <c r="D25" s="4">
        <f t="shared" ref="D25:G25" si="4">SUM(D24,D13)</f>
        <v>20029334.338000003</v>
      </c>
      <c r="E25" s="4">
        <f t="shared" si="4"/>
        <v>17490086.973000001</v>
      </c>
      <c r="F25" s="4">
        <f t="shared" si="4"/>
        <v>15850711.889999999</v>
      </c>
      <c r="G25" s="4">
        <f t="shared" si="4"/>
        <v>15136495.014999999</v>
      </c>
      <c r="J25" s="3" t="s">
        <v>40</v>
      </c>
      <c r="K25" s="4">
        <f>SUM(K24,K13)</f>
        <v>28994099</v>
      </c>
      <c r="L25" s="4">
        <f>SUM(L24,L13)</f>
        <v>23798301</v>
      </c>
    </row>
    <row r="26" spans="1:12" x14ac:dyDescent="0.2">
      <c r="B26" s="2">
        <f t="shared" si="1"/>
        <v>0</v>
      </c>
    </row>
    <row r="27" spans="1:12" x14ac:dyDescent="0.2">
      <c r="A27" s="5" t="s">
        <v>41</v>
      </c>
      <c r="B27" s="6">
        <f t="shared" si="1"/>
        <v>0</v>
      </c>
      <c r="C27" s="6"/>
      <c r="D27" s="6"/>
      <c r="E27" s="6"/>
      <c r="F27" s="6"/>
      <c r="G27" s="6"/>
      <c r="J27" s="5" t="s">
        <v>41</v>
      </c>
      <c r="K27" s="6"/>
      <c r="L27" s="6"/>
    </row>
    <row r="28" spans="1:12" x14ac:dyDescent="0.2">
      <c r="A28" s="3" t="s">
        <v>42</v>
      </c>
      <c r="B28" s="2">
        <f t="shared" si="1"/>
        <v>0</v>
      </c>
      <c r="J28" s="3" t="s">
        <v>42</v>
      </c>
    </row>
    <row r="29" spans="1:12" x14ac:dyDescent="0.2">
      <c r="A29" t="s">
        <v>43</v>
      </c>
      <c r="B29" s="7">
        <f t="shared" si="1"/>
        <v>1583717</v>
      </c>
      <c r="C29" s="7">
        <v>1353000</v>
      </c>
      <c r="D29" s="7">
        <v>650000</v>
      </c>
      <c r="E29" s="7">
        <v>906627.75</v>
      </c>
      <c r="F29" s="7">
        <v>1595521.5</v>
      </c>
      <c r="G29" s="7">
        <v>1675843.375</v>
      </c>
      <c r="J29" t="s">
        <v>43</v>
      </c>
      <c r="K29" s="7">
        <v>1583717</v>
      </c>
      <c r="L29" s="7">
        <v>898653</v>
      </c>
    </row>
    <row r="30" spans="1:12" x14ac:dyDescent="0.2">
      <c r="A30" t="s">
        <v>44</v>
      </c>
      <c r="B30" s="7">
        <f t="shared" si="1"/>
        <v>3136804</v>
      </c>
      <c r="C30" s="7">
        <v>2210212.139</v>
      </c>
      <c r="D30" s="7">
        <v>1410186.774</v>
      </c>
      <c r="E30" s="7">
        <v>1185815.051</v>
      </c>
      <c r="F30" s="7">
        <v>1146891.727</v>
      </c>
      <c r="G30" s="7">
        <v>1136827.111</v>
      </c>
      <c r="J30" t="s">
        <v>44</v>
      </c>
      <c r="K30" s="7">
        <v>3136804</v>
      </c>
      <c r="L30" s="7">
        <v>1937957</v>
      </c>
    </row>
    <row r="31" spans="1:12" x14ac:dyDescent="0.2">
      <c r="A31" t="s">
        <v>45</v>
      </c>
      <c r="B31" s="7">
        <f t="shared" si="1"/>
        <v>394912</v>
      </c>
      <c r="C31" s="7">
        <v>344778.85</v>
      </c>
      <c r="D31" s="7">
        <v>252734.08499999999</v>
      </c>
      <c r="E31" s="7">
        <v>147295.114</v>
      </c>
      <c r="F31" s="7">
        <v>420638.62400000001</v>
      </c>
      <c r="G31" s="7">
        <v>408930.33299999998</v>
      </c>
      <c r="J31" t="s">
        <v>45</v>
      </c>
      <c r="K31" s="7">
        <v>394912</v>
      </c>
      <c r="L31" s="7">
        <v>297406</v>
      </c>
    </row>
    <row r="32" spans="1:12" x14ac:dyDescent="0.2">
      <c r="A32" t="s">
        <v>46</v>
      </c>
      <c r="B32" s="7">
        <f t="shared" si="1"/>
        <v>12436</v>
      </c>
      <c r="C32" s="7">
        <v>7890.2259999999997</v>
      </c>
      <c r="D32" s="7">
        <v>5804.4740000000002</v>
      </c>
      <c r="E32" s="7">
        <v>0</v>
      </c>
      <c r="F32" s="7">
        <v>0</v>
      </c>
      <c r="G32" s="7">
        <v>1475.6489999999999</v>
      </c>
      <c r="J32" t="s">
        <v>46</v>
      </c>
      <c r="K32" s="7">
        <v>12436</v>
      </c>
      <c r="L32" s="7">
        <v>6472</v>
      </c>
    </row>
    <row r="33" spans="1:12" x14ac:dyDescent="0.2">
      <c r="A33" t="s">
        <v>47</v>
      </c>
      <c r="B33" s="7">
        <f t="shared" si="1"/>
        <v>127954</v>
      </c>
      <c r="C33" s="7">
        <v>247039.78599999999</v>
      </c>
      <c r="D33" s="7">
        <v>82932.767000000007</v>
      </c>
      <c r="E33" s="7">
        <v>26245.268</v>
      </c>
      <c r="F33" s="7">
        <v>2557.8510000000001</v>
      </c>
      <c r="G33" s="7">
        <v>5238.71</v>
      </c>
      <c r="J33" t="s">
        <v>47</v>
      </c>
      <c r="K33" s="7">
        <v>127954</v>
      </c>
      <c r="L33" s="7">
        <v>76480</v>
      </c>
    </row>
    <row r="34" spans="1:12" x14ac:dyDescent="0.2">
      <c r="A34" t="s">
        <v>48</v>
      </c>
      <c r="B34" s="7">
        <f t="shared" si="1"/>
        <v>157012</v>
      </c>
      <c r="C34" s="7">
        <v>55363.639000000003</v>
      </c>
      <c r="D34" s="7">
        <v>33615.339999999997</v>
      </c>
      <c r="E34" s="7">
        <v>0</v>
      </c>
      <c r="F34" s="7">
        <v>0</v>
      </c>
      <c r="G34" s="7">
        <v>0</v>
      </c>
      <c r="J34" t="s">
        <v>48</v>
      </c>
      <c r="K34" s="7">
        <v>157012</v>
      </c>
      <c r="L34" s="7">
        <v>56161</v>
      </c>
    </row>
    <row r="35" spans="1:12" x14ac:dyDescent="0.2">
      <c r="A35" t="s">
        <v>49</v>
      </c>
      <c r="B35" s="7">
        <f t="shared" si="1"/>
        <v>546326</v>
      </c>
      <c r="C35" s="7">
        <v>768459.15</v>
      </c>
      <c r="D35" s="7">
        <v>549557.55299999996</v>
      </c>
      <c r="E35" s="7">
        <v>587713.48600000003</v>
      </c>
      <c r="F35" s="7">
        <v>440687.728</v>
      </c>
      <c r="G35" s="7">
        <v>337473.45799999998</v>
      </c>
      <c r="J35" t="s">
        <v>49</v>
      </c>
      <c r="K35" s="7">
        <v>546326</v>
      </c>
      <c r="L35" s="7">
        <v>595094</v>
      </c>
    </row>
    <row r="36" spans="1:12" x14ac:dyDescent="0.2">
      <c r="A36" s="3" t="s">
        <v>50</v>
      </c>
      <c r="B36" s="4">
        <f t="shared" si="1"/>
        <v>5959161</v>
      </c>
      <c r="C36" s="4">
        <f>SUM(C29:C35)</f>
        <v>4986743.79</v>
      </c>
      <c r="D36" s="4">
        <f t="shared" ref="D36:G36" si="5">SUM(D29:D35)</f>
        <v>2984830.9929999998</v>
      </c>
      <c r="E36" s="4">
        <f t="shared" si="5"/>
        <v>2853696.6690000002</v>
      </c>
      <c r="F36" s="4">
        <f t="shared" si="5"/>
        <v>3606297.4299999997</v>
      </c>
      <c r="G36" s="4">
        <f t="shared" si="5"/>
        <v>3565788.6360000004</v>
      </c>
      <c r="J36" s="3" t="s">
        <v>50</v>
      </c>
      <c r="K36" s="4">
        <f>SUM(K29:K35)</f>
        <v>5959161</v>
      </c>
      <c r="L36" s="4">
        <f>SUM(L29:L35)</f>
        <v>3868223</v>
      </c>
    </row>
    <row r="37" spans="1:12" x14ac:dyDescent="0.2">
      <c r="A37" s="3" t="s">
        <v>51</v>
      </c>
      <c r="B37" s="2">
        <f t="shared" si="1"/>
        <v>0</v>
      </c>
      <c r="J37" s="3" t="s">
        <v>51</v>
      </c>
    </row>
    <row r="38" spans="1:12" x14ac:dyDescent="0.2">
      <c r="A38" t="s">
        <v>52</v>
      </c>
      <c r="B38" s="2">
        <f t="shared" ref="B38:B64" si="6">K38</f>
        <v>0</v>
      </c>
      <c r="J38" t="s">
        <v>52</v>
      </c>
    </row>
    <row r="39" spans="1:12" x14ac:dyDescent="0.2">
      <c r="A39" t="s">
        <v>53</v>
      </c>
      <c r="B39" s="7">
        <f t="shared" si="6"/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J39" t="s">
        <v>53</v>
      </c>
      <c r="K39" s="7"/>
      <c r="L39" s="7">
        <v>0</v>
      </c>
    </row>
    <row r="40" spans="1:12" x14ac:dyDescent="0.2">
      <c r="A40" t="s">
        <v>54</v>
      </c>
      <c r="B40" s="2">
        <f t="shared" si="6"/>
        <v>0</v>
      </c>
      <c r="J40" t="s">
        <v>54</v>
      </c>
    </row>
    <row r="41" spans="1:12" x14ac:dyDescent="0.2">
      <c r="A41" t="s">
        <v>53</v>
      </c>
      <c r="B41" s="7">
        <f t="shared" si="6"/>
        <v>2015955</v>
      </c>
      <c r="C41" s="7">
        <v>2033422.3740000001</v>
      </c>
      <c r="D41" s="7">
        <v>1361609.706</v>
      </c>
      <c r="E41" s="7">
        <v>1506019.6869999999</v>
      </c>
      <c r="F41" s="7">
        <v>594229.76100000006</v>
      </c>
      <c r="G41" s="7">
        <v>1000945.204</v>
      </c>
      <c r="J41" t="s">
        <v>53</v>
      </c>
      <c r="K41" s="7">
        <v>2015955</v>
      </c>
      <c r="L41" s="7">
        <v>1877422</v>
      </c>
    </row>
    <row r="42" spans="1:12" x14ac:dyDescent="0.2">
      <c r="A42" t="s">
        <v>55</v>
      </c>
      <c r="B42" s="7">
        <f t="shared" si="6"/>
        <v>33630</v>
      </c>
      <c r="C42" s="7">
        <v>17367.103999999999</v>
      </c>
      <c r="D42" s="7">
        <v>12551.93</v>
      </c>
      <c r="E42" s="7">
        <v>0</v>
      </c>
      <c r="F42" s="7">
        <v>0</v>
      </c>
      <c r="G42" s="7">
        <v>0</v>
      </c>
      <c r="J42" t="s">
        <v>55</v>
      </c>
      <c r="K42" s="7">
        <v>33630</v>
      </c>
      <c r="L42" s="7">
        <v>11389</v>
      </c>
    </row>
    <row r="43" spans="1:12" x14ac:dyDescent="0.2">
      <c r="A43" t="s">
        <v>56</v>
      </c>
      <c r="B43" s="7">
        <f t="shared" si="6"/>
        <v>65844</v>
      </c>
      <c r="C43" s="7">
        <v>57127.858999999997</v>
      </c>
      <c r="D43" s="7">
        <v>52821.904000000002</v>
      </c>
      <c r="E43" s="7">
        <v>55741.733999999997</v>
      </c>
      <c r="F43" s="7">
        <v>39995.116999999998</v>
      </c>
      <c r="G43" s="7">
        <v>30489.313999999998</v>
      </c>
      <c r="J43" t="s">
        <v>56</v>
      </c>
      <c r="K43" s="7">
        <v>65844</v>
      </c>
      <c r="L43" s="7">
        <v>56322</v>
      </c>
    </row>
    <row r="44" spans="1:12" x14ac:dyDescent="0.2">
      <c r="A44" t="s">
        <v>57</v>
      </c>
      <c r="B44" s="7">
        <f t="shared" si="6"/>
        <v>611121</v>
      </c>
      <c r="C44" s="7">
        <v>535745.13</v>
      </c>
      <c r="D44" s="7">
        <v>268010.755</v>
      </c>
      <c r="E44" s="7">
        <v>152910.40700000001</v>
      </c>
      <c r="F44" s="7">
        <v>0</v>
      </c>
      <c r="G44" s="7">
        <v>0</v>
      </c>
      <c r="J44" t="s">
        <v>57</v>
      </c>
      <c r="K44" s="7">
        <v>611121</v>
      </c>
      <c r="L44" s="7">
        <v>445739</v>
      </c>
    </row>
    <row r="45" spans="1:12" x14ac:dyDescent="0.2">
      <c r="A45" t="s">
        <v>58</v>
      </c>
      <c r="B45" s="7">
        <f t="shared" si="6"/>
        <v>19600</v>
      </c>
      <c r="C45" s="7">
        <v>9098.3250000000007</v>
      </c>
      <c r="D45" s="7">
        <v>9809.5889999999999</v>
      </c>
      <c r="E45" s="7">
        <v>0</v>
      </c>
      <c r="F45" s="7">
        <v>0</v>
      </c>
      <c r="G45" s="7">
        <v>0</v>
      </c>
      <c r="J45" t="s">
        <v>58</v>
      </c>
      <c r="K45" s="7">
        <v>19600</v>
      </c>
      <c r="L45" s="7">
        <v>5296</v>
      </c>
    </row>
    <row r="46" spans="1:12" x14ac:dyDescent="0.2">
      <c r="A46" t="s">
        <v>59</v>
      </c>
      <c r="B46" s="7">
        <f t="shared" si="6"/>
        <v>559</v>
      </c>
      <c r="C46" s="7">
        <v>559.03099999999995</v>
      </c>
      <c r="D46" s="7">
        <v>559.03099999999995</v>
      </c>
      <c r="E46" s="7">
        <v>0</v>
      </c>
      <c r="F46" s="7">
        <v>0</v>
      </c>
      <c r="G46" s="7">
        <v>0</v>
      </c>
      <c r="J46" t="s">
        <v>59</v>
      </c>
      <c r="K46" s="7">
        <v>559</v>
      </c>
      <c r="L46" s="7">
        <v>559</v>
      </c>
    </row>
    <row r="47" spans="1:12" x14ac:dyDescent="0.2">
      <c r="A47" s="3" t="s">
        <v>60</v>
      </c>
      <c r="B47" s="4">
        <f t="shared" si="6"/>
        <v>2746709</v>
      </c>
      <c r="C47" s="4">
        <f>SUM(C39:C46)</f>
        <v>2653319.8230000003</v>
      </c>
      <c r="D47" s="4">
        <f t="shared" ref="D47:G47" si="7">SUM(D39:D46)</f>
        <v>1705362.9149999998</v>
      </c>
      <c r="E47" s="4">
        <f t="shared" si="7"/>
        <v>1714671.8279999997</v>
      </c>
      <c r="F47" s="4">
        <f t="shared" si="7"/>
        <v>634224.87800000003</v>
      </c>
      <c r="G47" s="4">
        <f t="shared" si="7"/>
        <v>1031434.518</v>
      </c>
      <c r="J47" s="3" t="s">
        <v>60</v>
      </c>
      <c r="K47" s="4">
        <f>SUM(K39:K46)</f>
        <v>2746709</v>
      </c>
      <c r="L47" s="4">
        <f>SUM(L39:L46)</f>
        <v>2396727</v>
      </c>
    </row>
    <row r="48" spans="1:12" x14ac:dyDescent="0.2">
      <c r="A48" s="3" t="s">
        <v>61</v>
      </c>
      <c r="B48" s="4">
        <f t="shared" si="6"/>
        <v>8705870</v>
      </c>
      <c r="C48" s="4">
        <f>SUM(C36,C47)</f>
        <v>7640063.6129999999</v>
      </c>
      <c r="D48" s="4">
        <f t="shared" ref="D48:G48" si="8">SUM(D36,D47)</f>
        <v>4690193.9079999998</v>
      </c>
      <c r="E48" s="4">
        <f t="shared" si="8"/>
        <v>4568368.4969999995</v>
      </c>
      <c r="F48" s="4">
        <f t="shared" si="8"/>
        <v>4240522.3080000002</v>
      </c>
      <c r="G48" s="4">
        <f t="shared" si="8"/>
        <v>4597223.1540000001</v>
      </c>
      <c r="J48" s="3" t="s">
        <v>61</v>
      </c>
      <c r="K48" s="4">
        <f>SUM(K36,K47)</f>
        <v>8705870</v>
      </c>
      <c r="L48" s="4">
        <f>SUM(L36,L47)</f>
        <v>6264950</v>
      </c>
    </row>
    <row r="49" spans="1:12" x14ac:dyDescent="0.2">
      <c r="B49" s="2">
        <f t="shared" si="6"/>
        <v>0</v>
      </c>
    </row>
    <row r="50" spans="1:12" x14ac:dyDescent="0.2">
      <c r="A50" s="5" t="s">
        <v>62</v>
      </c>
      <c r="B50" s="6">
        <f t="shared" si="6"/>
        <v>0</v>
      </c>
      <c r="C50" s="6"/>
      <c r="D50" s="6"/>
      <c r="E50" s="6"/>
      <c r="F50" s="6"/>
      <c r="G50" s="6"/>
      <c r="J50" s="5" t="s">
        <v>62</v>
      </c>
      <c r="K50" s="6"/>
      <c r="L50" s="6"/>
    </row>
    <row r="51" spans="1:12" x14ac:dyDescent="0.2">
      <c r="A51" t="s">
        <v>63</v>
      </c>
      <c r="B51" s="2">
        <f t="shared" si="6"/>
        <v>0</v>
      </c>
      <c r="J51" t="s">
        <v>63</v>
      </c>
    </row>
    <row r="52" spans="1:12" x14ac:dyDescent="0.2">
      <c r="A52" t="s">
        <v>64</v>
      </c>
      <c r="B52" s="2">
        <f t="shared" si="6"/>
        <v>0</v>
      </c>
      <c r="J52" t="s">
        <v>64</v>
      </c>
    </row>
    <row r="53" spans="1:12" x14ac:dyDescent="0.2">
      <c r="A53" t="s">
        <v>65</v>
      </c>
      <c r="B53" s="7">
        <f t="shared" si="6"/>
        <v>900000</v>
      </c>
      <c r="C53" s="7">
        <v>900000</v>
      </c>
      <c r="D53" s="7">
        <v>900000</v>
      </c>
      <c r="E53" s="7">
        <v>900000</v>
      </c>
      <c r="F53" s="7">
        <v>900000</v>
      </c>
      <c r="G53" s="7">
        <v>900000</v>
      </c>
      <c r="J53" t="s">
        <v>65</v>
      </c>
      <c r="K53" s="7">
        <v>900000</v>
      </c>
      <c r="L53" s="7">
        <v>900000</v>
      </c>
    </row>
    <row r="54" spans="1:12" x14ac:dyDescent="0.2">
      <c r="A54" t="s">
        <v>66</v>
      </c>
      <c r="B54" s="2">
        <f t="shared" si="6"/>
        <v>0</v>
      </c>
      <c r="J54" t="s">
        <v>66</v>
      </c>
    </row>
    <row r="55" spans="1:12" x14ac:dyDescent="0.2">
      <c r="A55" t="s">
        <v>65</v>
      </c>
      <c r="B55" s="7">
        <f t="shared" si="6"/>
        <v>900000</v>
      </c>
      <c r="C55" s="7">
        <v>900000</v>
      </c>
      <c r="D55" s="7">
        <v>900000</v>
      </c>
      <c r="E55" s="7">
        <v>900000</v>
      </c>
      <c r="F55" s="7">
        <v>900000</v>
      </c>
      <c r="G55" s="7">
        <v>900000</v>
      </c>
      <c r="J55" t="s">
        <v>65</v>
      </c>
      <c r="K55" s="7">
        <v>900000</v>
      </c>
      <c r="L55" s="7">
        <v>900000</v>
      </c>
    </row>
    <row r="56" spans="1:12" x14ac:dyDescent="0.2">
      <c r="A56" t="s">
        <v>67</v>
      </c>
      <c r="B56" s="7">
        <f t="shared" si="6"/>
        <v>1908450</v>
      </c>
      <c r="C56" s="7">
        <v>1908449.6780000001</v>
      </c>
      <c r="D56" s="7">
        <v>1908449.6780000001</v>
      </c>
      <c r="E56" s="7">
        <v>1908449.6780000001</v>
      </c>
      <c r="F56" s="7">
        <v>1908449.6780000001</v>
      </c>
      <c r="G56" s="7">
        <v>1908449.6780000001</v>
      </c>
      <c r="J56" t="s">
        <v>67</v>
      </c>
      <c r="K56" s="7">
        <v>1908450</v>
      </c>
      <c r="L56" s="7">
        <v>1908450</v>
      </c>
    </row>
    <row r="57" spans="1:12" x14ac:dyDescent="0.2">
      <c r="A57" t="s">
        <v>68</v>
      </c>
      <c r="B57" s="2">
        <f t="shared" si="6"/>
        <v>0</v>
      </c>
      <c r="J57" t="s">
        <v>68</v>
      </c>
    </row>
    <row r="58" spans="1:12" x14ac:dyDescent="0.2">
      <c r="A58" t="s">
        <v>69</v>
      </c>
      <c r="B58" s="7">
        <f t="shared" si="6"/>
        <v>96000</v>
      </c>
      <c r="C58" s="7">
        <v>96000</v>
      </c>
      <c r="D58" s="7">
        <v>96000</v>
      </c>
      <c r="E58" s="7">
        <v>96000</v>
      </c>
      <c r="F58" s="7">
        <v>96000</v>
      </c>
      <c r="G58" s="7">
        <v>96000</v>
      </c>
      <c r="J58" t="s">
        <v>69</v>
      </c>
      <c r="K58" s="7">
        <v>96000</v>
      </c>
      <c r="L58" s="7">
        <v>96000</v>
      </c>
    </row>
    <row r="59" spans="1:12" x14ac:dyDescent="0.2">
      <c r="A59" t="s">
        <v>70</v>
      </c>
      <c r="B59" s="7">
        <f t="shared" si="6"/>
        <v>17445060</v>
      </c>
      <c r="C59" s="7">
        <v>15682898.502</v>
      </c>
      <c r="D59" s="7">
        <v>13415694.574999999</v>
      </c>
      <c r="E59" s="7">
        <v>11190252.252</v>
      </c>
      <c r="F59" s="7">
        <v>10012304.361</v>
      </c>
      <c r="G59" s="7">
        <v>8310195.4299999997</v>
      </c>
      <c r="J59" t="s">
        <v>70</v>
      </c>
      <c r="K59" s="7">
        <v>17445060</v>
      </c>
      <c r="L59" s="7">
        <v>14456816</v>
      </c>
    </row>
    <row r="60" spans="1:12" x14ac:dyDescent="0.2">
      <c r="A60" t="s">
        <v>71</v>
      </c>
      <c r="B60" s="7">
        <f t="shared" si="6"/>
        <v>-188304</v>
      </c>
      <c r="C60" s="7">
        <v>-760102.70200000005</v>
      </c>
      <c r="D60" s="7">
        <v>-1042999.117</v>
      </c>
      <c r="E60" s="7">
        <v>-1207430.2620000001</v>
      </c>
      <c r="F60" s="7">
        <v>-1338186.2350000001</v>
      </c>
      <c r="G60" s="7">
        <v>-700603.08700000006</v>
      </c>
      <c r="J60" t="s">
        <v>71</v>
      </c>
      <c r="K60" s="7">
        <v>-188304</v>
      </c>
      <c r="L60" s="7">
        <v>94098</v>
      </c>
    </row>
    <row r="61" spans="1:12" x14ac:dyDescent="0.2">
      <c r="A61" t="s">
        <v>72</v>
      </c>
      <c r="B61" s="2">
        <f t="shared" si="6"/>
        <v>20161206</v>
      </c>
      <c r="C61" s="2">
        <f>SUM(C55:C60)</f>
        <v>17827245.478</v>
      </c>
      <c r="D61" s="2">
        <f t="shared" ref="D61:G61" si="9">SUM(D55:D60)</f>
        <v>15277145.135999998</v>
      </c>
      <c r="E61" s="2">
        <f t="shared" si="9"/>
        <v>12887271.668</v>
      </c>
      <c r="F61" s="2">
        <f t="shared" si="9"/>
        <v>11578567.804000001</v>
      </c>
      <c r="G61" s="2">
        <f t="shared" si="9"/>
        <v>10514042.021</v>
      </c>
      <c r="J61" t="s">
        <v>72</v>
      </c>
      <c r="K61" s="2">
        <f>SUM(K55:K60)</f>
        <v>20161206</v>
      </c>
      <c r="L61" s="2">
        <f>SUM(L55:L60)</f>
        <v>17455364</v>
      </c>
    </row>
    <row r="62" spans="1:12" x14ac:dyDescent="0.2">
      <c r="A62" t="s">
        <v>73</v>
      </c>
      <c r="B62" s="7">
        <f t="shared" si="6"/>
        <v>127023</v>
      </c>
      <c r="C62" s="7">
        <v>94572.331000000006</v>
      </c>
      <c r="D62" s="7">
        <v>61995.294000000002</v>
      </c>
      <c r="E62" s="7">
        <v>34446.807999999997</v>
      </c>
      <c r="F62" s="7">
        <v>31621.777999999998</v>
      </c>
      <c r="G62" s="7">
        <v>25229.84</v>
      </c>
      <c r="J62" t="s">
        <v>73</v>
      </c>
      <c r="K62" s="7">
        <v>127023</v>
      </c>
      <c r="L62" s="7">
        <v>77987</v>
      </c>
    </row>
    <row r="63" spans="1:12" x14ac:dyDescent="0.2">
      <c r="A63" t="s">
        <v>74</v>
      </c>
      <c r="B63" s="2">
        <f t="shared" si="6"/>
        <v>20288229</v>
      </c>
      <c r="C63" s="2">
        <f>SUM(C61:C62)</f>
        <v>17921817.809</v>
      </c>
      <c r="D63" s="2">
        <f t="shared" ref="D63:G63" si="10">SUM(D61:D62)</f>
        <v>15339140.429999998</v>
      </c>
      <c r="E63" s="2">
        <f t="shared" si="10"/>
        <v>12921718.476</v>
      </c>
      <c r="F63" s="2">
        <f t="shared" si="10"/>
        <v>11610189.582000002</v>
      </c>
      <c r="G63" s="2">
        <f t="shared" si="10"/>
        <v>10539271.861</v>
      </c>
      <c r="J63" t="s">
        <v>74</v>
      </c>
      <c r="K63" s="2">
        <f>SUM(K61:K62)</f>
        <v>20288229</v>
      </c>
      <c r="L63" s="2">
        <f>SUM(L61:L62)</f>
        <v>17533351</v>
      </c>
    </row>
    <row r="64" spans="1:12" x14ac:dyDescent="0.2">
      <c r="A64" s="3" t="s">
        <v>75</v>
      </c>
      <c r="B64" s="4">
        <f t="shared" si="6"/>
        <v>28994099</v>
      </c>
      <c r="C64" s="4">
        <f>SUM(C63,C48)</f>
        <v>25561881.421999998</v>
      </c>
      <c r="D64" s="4">
        <f t="shared" ref="D64:G64" si="11">SUM(D63,D48)</f>
        <v>20029334.338</v>
      </c>
      <c r="E64" s="4">
        <f t="shared" si="11"/>
        <v>17490086.972999997</v>
      </c>
      <c r="F64" s="4">
        <f t="shared" si="11"/>
        <v>15850711.890000002</v>
      </c>
      <c r="G64" s="4">
        <f t="shared" si="11"/>
        <v>15136495.015000001</v>
      </c>
      <c r="J64" s="3" t="s">
        <v>75</v>
      </c>
      <c r="K64" s="4">
        <f>SUM(K63,K48)</f>
        <v>28994099</v>
      </c>
      <c r="L64" s="4">
        <f>SUM(L63,L48)</f>
        <v>23798301</v>
      </c>
    </row>
    <row r="66" spans="1:12" x14ac:dyDescent="0.2">
      <c r="A66" t="s">
        <v>76</v>
      </c>
      <c r="B66" s="2">
        <f>B25-B64</f>
        <v>0</v>
      </c>
      <c r="C66" s="2">
        <f>C25-C64</f>
        <v>0</v>
      </c>
      <c r="D66" s="2">
        <f t="shared" ref="D66:G66" si="12">D25-D64</f>
        <v>0</v>
      </c>
      <c r="E66" s="2">
        <f t="shared" si="12"/>
        <v>0</v>
      </c>
      <c r="F66" s="2">
        <f t="shared" si="12"/>
        <v>0</v>
      </c>
      <c r="G66" s="2">
        <f t="shared" si="12"/>
        <v>0</v>
      </c>
      <c r="J66" t="s">
        <v>76</v>
      </c>
      <c r="K66" s="2">
        <f>K25-K64</f>
        <v>0</v>
      </c>
      <c r="L66" s="2">
        <f>L25-L64</f>
        <v>0</v>
      </c>
    </row>
    <row r="68" spans="1:12" x14ac:dyDescent="0.2">
      <c r="A68" s="5" t="s">
        <v>0</v>
      </c>
      <c r="B68" s="6"/>
      <c r="C68" s="6"/>
      <c r="D68" s="6"/>
      <c r="E68" s="6"/>
      <c r="F68" s="6"/>
      <c r="G68" s="6"/>
      <c r="J68" s="5" t="s">
        <v>0</v>
      </c>
      <c r="K68" s="6"/>
      <c r="L68" s="6"/>
    </row>
    <row r="69" spans="1:12" x14ac:dyDescent="0.2">
      <c r="A69" t="s">
        <v>1</v>
      </c>
      <c r="B69" s="7">
        <f t="shared" ref="B69:B90" si="13">C69+K69-L69</f>
        <v>26445870.586999997</v>
      </c>
      <c r="C69" s="7">
        <v>21544822.587000001</v>
      </c>
      <c r="D69" s="7">
        <v>15144387.625</v>
      </c>
      <c r="E69" s="7">
        <v>14050846.059</v>
      </c>
      <c r="F69" s="7">
        <v>14746184.402000001</v>
      </c>
      <c r="G69" s="7">
        <v>12672953.698000001</v>
      </c>
      <c r="J69" t="s">
        <v>1</v>
      </c>
      <c r="K69" s="7">
        <v>14397643</v>
      </c>
      <c r="L69" s="7">
        <v>9496595</v>
      </c>
    </row>
    <row r="70" spans="1:12" x14ac:dyDescent="0.2">
      <c r="A70" t="s">
        <v>2</v>
      </c>
      <c r="B70" s="7">
        <f t="shared" si="13"/>
        <v>943564.15700000001</v>
      </c>
      <c r="C70" s="7">
        <v>351774.15700000001</v>
      </c>
      <c r="D70" s="7">
        <v>1243.596</v>
      </c>
      <c r="E70" s="7">
        <v>0</v>
      </c>
      <c r="F70" s="7">
        <v>450286.951</v>
      </c>
      <c r="G70" s="7">
        <v>0</v>
      </c>
      <c r="J70" t="s">
        <v>2</v>
      </c>
      <c r="K70" s="7">
        <v>591790</v>
      </c>
      <c r="L70" s="7">
        <v>0</v>
      </c>
    </row>
    <row r="71" spans="1:12" x14ac:dyDescent="0.2">
      <c r="A71" t="s">
        <v>3</v>
      </c>
      <c r="B71" s="7">
        <f t="shared" si="13"/>
        <v>0</v>
      </c>
      <c r="C71" s="7">
        <v>0</v>
      </c>
      <c r="D71" s="7">
        <v>12067.647000000001</v>
      </c>
      <c r="E71" s="7">
        <v>0</v>
      </c>
      <c r="F71" s="7">
        <v>0</v>
      </c>
      <c r="G71" s="7">
        <v>0</v>
      </c>
      <c r="J71" t="s">
        <v>3</v>
      </c>
      <c r="K71" s="7">
        <v>0</v>
      </c>
      <c r="L71" s="7"/>
    </row>
    <row r="72" spans="1:12" x14ac:dyDescent="0.2">
      <c r="A72" t="s">
        <v>4</v>
      </c>
      <c r="B72" s="7">
        <f t="shared" si="13"/>
        <v>63979.168999999994</v>
      </c>
      <c r="C72" s="7">
        <v>40312.169000000002</v>
      </c>
      <c r="D72" s="7">
        <v>34845.767</v>
      </c>
      <c r="E72" s="7">
        <v>63178.85</v>
      </c>
      <c r="F72" s="7">
        <v>67575.974000000002</v>
      </c>
      <c r="G72" s="7">
        <v>54502.252</v>
      </c>
      <c r="J72" t="s">
        <v>4</v>
      </c>
      <c r="K72" s="7">
        <v>32951</v>
      </c>
      <c r="L72" s="7">
        <v>9284</v>
      </c>
    </row>
    <row r="73" spans="1:12" x14ac:dyDescent="0.2">
      <c r="A73" s="3" t="s">
        <v>5</v>
      </c>
      <c r="B73" s="4">
        <f t="shared" si="13"/>
        <v>27453413.913000003</v>
      </c>
      <c r="C73" s="4">
        <f>SUM(C69:C72)</f>
        <v>21936908.913000003</v>
      </c>
      <c r="D73" s="4">
        <f t="shared" ref="D73:G73" si="14">SUM(D69:D72)</f>
        <v>15192544.635000002</v>
      </c>
      <c r="E73" s="4">
        <f t="shared" si="14"/>
        <v>14114024.909</v>
      </c>
      <c r="F73" s="4">
        <f t="shared" si="14"/>
        <v>15264047.327</v>
      </c>
      <c r="G73" s="4">
        <f t="shared" si="14"/>
        <v>12727455.950000001</v>
      </c>
      <c r="J73" s="3" t="s">
        <v>5</v>
      </c>
      <c r="K73" s="4">
        <f>SUM(K69:K72)</f>
        <v>15022384</v>
      </c>
      <c r="L73" s="4">
        <f>SUM(L69:L72)</f>
        <v>9505879</v>
      </c>
    </row>
    <row r="74" spans="1:12" x14ac:dyDescent="0.2">
      <c r="A74" s="5" t="s">
        <v>6</v>
      </c>
      <c r="B74" s="6">
        <f t="shared" si="13"/>
        <v>0</v>
      </c>
      <c r="C74" s="6"/>
      <c r="D74" s="6"/>
      <c r="E74" s="6"/>
      <c r="F74" s="6"/>
      <c r="G74" s="6"/>
      <c r="J74" s="5" t="s">
        <v>6</v>
      </c>
      <c r="K74" s="6"/>
      <c r="L74" s="6"/>
    </row>
    <row r="75" spans="1:12" x14ac:dyDescent="0.2">
      <c r="A75" t="s">
        <v>7</v>
      </c>
      <c r="B75" s="7">
        <f t="shared" si="13"/>
        <v>19601571.579999998</v>
      </c>
      <c r="C75" s="7">
        <v>15299359.58</v>
      </c>
      <c r="D75" s="7">
        <v>10433230.804</v>
      </c>
      <c r="E75" s="7">
        <v>10769284.711999999</v>
      </c>
      <c r="F75" s="7">
        <v>11543091.414999999</v>
      </c>
      <c r="G75" s="7">
        <v>10019891.636</v>
      </c>
      <c r="J75" t="s">
        <v>7</v>
      </c>
      <c r="K75" s="7">
        <v>10968385</v>
      </c>
      <c r="L75" s="7">
        <v>6666173</v>
      </c>
    </row>
    <row r="76" spans="1:12" x14ac:dyDescent="0.2">
      <c r="A76" t="s">
        <v>8</v>
      </c>
      <c r="B76" s="7">
        <f t="shared" si="13"/>
        <v>2377098.4819999998</v>
      </c>
      <c r="C76" s="7">
        <v>1957190.4820000001</v>
      </c>
      <c r="D76" s="7">
        <v>970867.35499999998</v>
      </c>
      <c r="E76" s="7">
        <v>761616.09699999995</v>
      </c>
      <c r="F76" s="7">
        <v>825878.61399999994</v>
      </c>
      <c r="G76" s="7">
        <v>754702.64199999999</v>
      </c>
      <c r="J76" t="s">
        <v>8</v>
      </c>
      <c r="K76" s="7">
        <v>1202786</v>
      </c>
      <c r="L76" s="7">
        <v>782878</v>
      </c>
    </row>
    <row r="77" spans="1:12" x14ac:dyDescent="0.2">
      <c r="A77" t="s">
        <v>9</v>
      </c>
      <c r="B77" s="7">
        <f t="shared" si="13"/>
        <v>566701.902</v>
      </c>
      <c r="C77" s="7">
        <v>538743.902</v>
      </c>
      <c r="D77" s="7">
        <v>507304.05900000001</v>
      </c>
      <c r="E77" s="7">
        <v>466196.25</v>
      </c>
      <c r="F77" s="7">
        <v>409172.90299999999</v>
      </c>
      <c r="G77" s="7">
        <v>358387.82299999997</v>
      </c>
      <c r="J77" t="s">
        <v>9</v>
      </c>
      <c r="K77" s="7">
        <v>290522</v>
      </c>
      <c r="L77" s="7">
        <v>262564</v>
      </c>
    </row>
    <row r="78" spans="1:12" x14ac:dyDescent="0.2">
      <c r="A78" t="s">
        <v>148</v>
      </c>
      <c r="B78" s="7">
        <f t="shared" si="13"/>
        <v>0</v>
      </c>
      <c r="J78" t="s">
        <v>148</v>
      </c>
    </row>
    <row r="79" spans="1:12" x14ac:dyDescent="0.2">
      <c r="A79" t="s">
        <v>149</v>
      </c>
      <c r="B79" s="7">
        <f t="shared" si="13"/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J79" t="s">
        <v>149</v>
      </c>
      <c r="K79" s="7">
        <v>0</v>
      </c>
      <c r="L79" s="7"/>
    </row>
    <row r="80" spans="1:12" x14ac:dyDescent="0.2">
      <c r="A80" t="s">
        <v>150</v>
      </c>
      <c r="B80" s="7">
        <f t="shared" si="13"/>
        <v>0</v>
      </c>
      <c r="J80" t="s">
        <v>150</v>
      </c>
    </row>
    <row r="81" spans="1:12" x14ac:dyDescent="0.2">
      <c r="A81" t="s">
        <v>151</v>
      </c>
      <c r="B81" s="7">
        <f t="shared" si="13"/>
        <v>0</v>
      </c>
      <c r="C81" s="7">
        <v>0</v>
      </c>
      <c r="D81" s="7">
        <v>0</v>
      </c>
      <c r="E81" s="7">
        <v>-310247.62699999998</v>
      </c>
      <c r="F81" s="7">
        <v>0</v>
      </c>
      <c r="G81" s="7">
        <v>0</v>
      </c>
      <c r="J81" t="s">
        <v>151</v>
      </c>
      <c r="K81" s="7">
        <v>0</v>
      </c>
      <c r="L81" s="7"/>
    </row>
    <row r="82" spans="1:12" x14ac:dyDescent="0.2">
      <c r="A82" t="s">
        <v>10</v>
      </c>
      <c r="B82" s="7">
        <f t="shared" si="13"/>
        <v>-122921</v>
      </c>
      <c r="C82" s="7">
        <v>0</v>
      </c>
      <c r="D82" s="7">
        <v>0</v>
      </c>
      <c r="E82" s="7">
        <v>267602.59000000003</v>
      </c>
      <c r="F82" s="7">
        <v>0</v>
      </c>
      <c r="G82" s="7">
        <v>263957.69099999999</v>
      </c>
      <c r="J82" t="s">
        <v>10</v>
      </c>
      <c r="K82" s="7">
        <v>0</v>
      </c>
      <c r="L82" s="7">
        <v>122921</v>
      </c>
    </row>
    <row r="83" spans="1:12" x14ac:dyDescent="0.2">
      <c r="A83" t="s">
        <v>11</v>
      </c>
      <c r="B83" s="7">
        <f t="shared" si="13"/>
        <v>146986.12400000001</v>
      </c>
      <c r="C83" s="7">
        <v>23783.124</v>
      </c>
      <c r="D83" s="7">
        <v>0</v>
      </c>
      <c r="E83" s="7">
        <v>43493.822999999997</v>
      </c>
      <c r="F83" s="7">
        <v>0</v>
      </c>
      <c r="G83" s="7">
        <v>0</v>
      </c>
      <c r="J83" t="s">
        <v>11</v>
      </c>
      <c r="K83" s="7">
        <v>137578</v>
      </c>
      <c r="L83" s="7">
        <v>14375</v>
      </c>
    </row>
    <row r="84" spans="1:12" x14ac:dyDescent="0.2">
      <c r="A84" s="3" t="s">
        <v>12</v>
      </c>
      <c r="B84" s="4">
        <f t="shared" si="13"/>
        <v>22569437.088</v>
      </c>
      <c r="C84" s="4">
        <f>SUM(C75:C83)</f>
        <v>17819077.088</v>
      </c>
      <c r="D84" s="4">
        <f t="shared" ref="D84:G84" si="15">SUM(D75:D83)</f>
        <v>11911402.218</v>
      </c>
      <c r="E84" s="4">
        <f t="shared" si="15"/>
        <v>11997945.844999999</v>
      </c>
      <c r="F84" s="4">
        <f t="shared" si="15"/>
        <v>12778142.932</v>
      </c>
      <c r="G84" s="4">
        <f t="shared" si="15"/>
        <v>11396939.792000001</v>
      </c>
      <c r="J84" s="3" t="s">
        <v>12</v>
      </c>
      <c r="K84" s="4">
        <f>SUM(K75:K83)</f>
        <v>12599271</v>
      </c>
      <c r="L84" s="4">
        <f>SUM(L75:L83)</f>
        <v>7848911</v>
      </c>
    </row>
    <row r="85" spans="1:12" x14ac:dyDescent="0.2">
      <c r="A85" s="3" t="s">
        <v>13</v>
      </c>
      <c r="B85" s="4">
        <f t="shared" si="13"/>
        <v>4883976.825000003</v>
      </c>
      <c r="C85" s="4">
        <f>C73-C84</f>
        <v>4117831.825000003</v>
      </c>
      <c r="D85" s="4">
        <f t="shared" ref="D85:G85" si="16">D73-D84</f>
        <v>3281142.4170000013</v>
      </c>
      <c r="E85" s="4">
        <f t="shared" si="16"/>
        <v>2116079.0640000012</v>
      </c>
      <c r="F85" s="4">
        <f t="shared" si="16"/>
        <v>2485904.3949999996</v>
      </c>
      <c r="G85" s="4">
        <f t="shared" si="16"/>
        <v>1330516.1579999998</v>
      </c>
      <c r="J85" s="3" t="s">
        <v>13</v>
      </c>
      <c r="K85" s="4">
        <f>K73-K84</f>
        <v>2423113</v>
      </c>
      <c r="L85" s="4">
        <f>L73-L84</f>
        <v>1656968</v>
      </c>
    </row>
    <row r="86" spans="1:12" x14ac:dyDescent="0.2">
      <c r="A86" t="s">
        <v>14</v>
      </c>
      <c r="B86" s="7">
        <f t="shared" si="13"/>
        <v>22876.239000000001</v>
      </c>
      <c r="C86" s="7">
        <v>19899.239000000001</v>
      </c>
      <c r="D86" s="7">
        <v>23445.201000000001</v>
      </c>
      <c r="E86" s="7">
        <v>10672.365</v>
      </c>
      <c r="F86" s="7">
        <v>0</v>
      </c>
      <c r="G86" s="7">
        <v>0</v>
      </c>
      <c r="J86" t="s">
        <v>14</v>
      </c>
      <c r="K86" s="7">
        <v>12785</v>
      </c>
      <c r="L86" s="7">
        <v>9808</v>
      </c>
    </row>
    <row r="87" spans="1:12" x14ac:dyDescent="0.2">
      <c r="A87" t="s">
        <v>15</v>
      </c>
      <c r="B87" s="7">
        <f t="shared" si="13"/>
        <v>-95802.737999999998</v>
      </c>
      <c r="C87" s="7">
        <v>-62684.737999999998</v>
      </c>
      <c r="D87" s="7">
        <v>-61447.358999999997</v>
      </c>
      <c r="E87" s="7">
        <v>-66360.850999999995</v>
      </c>
      <c r="F87" s="7">
        <v>-112051.798</v>
      </c>
      <c r="G87" s="7">
        <v>-122420.185</v>
      </c>
      <c r="J87" t="s">
        <v>15</v>
      </c>
      <c r="K87" s="7">
        <v>-60945</v>
      </c>
      <c r="L87" s="7">
        <v>-27827</v>
      </c>
    </row>
    <row r="88" spans="1:12" x14ac:dyDescent="0.2">
      <c r="A88" s="3" t="s">
        <v>16</v>
      </c>
      <c r="B88" s="4">
        <f t="shared" si="13"/>
        <v>4811050.3260000031</v>
      </c>
      <c r="C88" s="4">
        <f>SUM(C85:C87)</f>
        <v>4075046.3260000031</v>
      </c>
      <c r="D88" s="4">
        <f t="shared" ref="D88:G88" si="17">SUM(D85:D87)</f>
        <v>3243140.259000001</v>
      </c>
      <c r="E88" s="4">
        <f t="shared" si="17"/>
        <v>2060390.5780000014</v>
      </c>
      <c r="F88" s="4">
        <f t="shared" si="17"/>
        <v>2373852.5969999996</v>
      </c>
      <c r="G88" s="4">
        <f t="shared" si="17"/>
        <v>1208095.9729999998</v>
      </c>
      <c r="J88" s="3" t="s">
        <v>16</v>
      </c>
      <c r="K88" s="4">
        <f>SUM(K85:K87)</f>
        <v>2374953</v>
      </c>
      <c r="L88" s="4">
        <f>SUM(L85:L87)</f>
        <v>1638949</v>
      </c>
    </row>
    <row r="89" spans="1:12" x14ac:dyDescent="0.2">
      <c r="A89" t="s">
        <v>17</v>
      </c>
      <c r="B89" s="7">
        <f t="shared" si="13"/>
        <v>-593431.46100000001</v>
      </c>
      <c r="C89" s="7">
        <v>-510144.46100000001</v>
      </c>
      <c r="D89" s="7">
        <v>-270670.74400000001</v>
      </c>
      <c r="E89" s="7">
        <v>-253596.723</v>
      </c>
      <c r="F89" s="7">
        <v>-41289.836000000003</v>
      </c>
      <c r="G89" s="7">
        <v>-30437.272000000001</v>
      </c>
      <c r="J89" t="s">
        <v>17</v>
      </c>
      <c r="K89" s="7">
        <v>-272234</v>
      </c>
      <c r="L89" s="7">
        <v>-188947</v>
      </c>
    </row>
    <row r="90" spans="1:12" x14ac:dyDescent="0.2">
      <c r="A90" s="3" t="s">
        <v>18</v>
      </c>
      <c r="B90" s="4">
        <f t="shared" si="13"/>
        <v>4217618.865000003</v>
      </c>
      <c r="C90" s="4">
        <f>SUM(C88:C89)</f>
        <v>3564901.865000003</v>
      </c>
      <c r="D90" s="4">
        <f t="shared" ref="D90:G90" si="18">SUM(D88:D89)</f>
        <v>2972469.5150000011</v>
      </c>
      <c r="E90" s="4">
        <f t="shared" si="18"/>
        <v>1806793.8550000014</v>
      </c>
      <c r="F90" s="4">
        <f t="shared" si="18"/>
        <v>2332562.7609999995</v>
      </c>
      <c r="G90" s="4">
        <f t="shared" si="18"/>
        <v>1177658.7009999997</v>
      </c>
      <c r="J90" s="3" t="s">
        <v>156</v>
      </c>
      <c r="K90" s="4">
        <f>SUM(K88:K89)</f>
        <v>2102719</v>
      </c>
      <c r="L90" s="4">
        <f>SUM(L88:L89)</f>
        <v>1450002</v>
      </c>
    </row>
    <row r="95" spans="1:12" x14ac:dyDescent="0.2">
      <c r="A95" s="5" t="s">
        <v>77</v>
      </c>
      <c r="B95" s="6"/>
      <c r="C95" s="6"/>
      <c r="D95" s="6"/>
      <c r="E95" s="6"/>
      <c r="F95" s="6"/>
      <c r="G95" s="6"/>
      <c r="J95" s="5" t="s">
        <v>77</v>
      </c>
      <c r="K95" s="6"/>
      <c r="L95" s="6"/>
    </row>
    <row r="96" spans="1:12" x14ac:dyDescent="0.2">
      <c r="A96" s="3" t="s">
        <v>78</v>
      </c>
      <c r="B96" s="2">
        <f>B88</f>
        <v>4811050.3260000031</v>
      </c>
      <c r="C96" s="2">
        <f>C88</f>
        <v>4075046.3260000031</v>
      </c>
      <c r="D96" s="2">
        <f t="shared" ref="D96:G96" si="19">D88</f>
        <v>3243140.259000001</v>
      </c>
      <c r="E96" s="2">
        <f t="shared" si="19"/>
        <v>2060390.5780000014</v>
      </c>
      <c r="F96" s="2">
        <f t="shared" si="19"/>
        <v>2373852.5969999996</v>
      </c>
      <c r="G96" s="2">
        <f t="shared" si="19"/>
        <v>1208095.9729999998</v>
      </c>
      <c r="J96" s="3" t="s">
        <v>78</v>
      </c>
      <c r="K96" s="2">
        <f>K88</f>
        <v>2374953</v>
      </c>
      <c r="L96" s="2">
        <f>L88</f>
        <v>1638949</v>
      </c>
    </row>
    <row r="97" spans="1:12" x14ac:dyDescent="0.2">
      <c r="A97" t="s">
        <v>79</v>
      </c>
      <c r="J97" t="s">
        <v>79</v>
      </c>
    </row>
    <row r="98" spans="1:12" x14ac:dyDescent="0.2">
      <c r="A98" t="s">
        <v>80</v>
      </c>
      <c r="J98" t="s">
        <v>80</v>
      </c>
    </row>
    <row r="99" spans="1:12" x14ac:dyDescent="0.2">
      <c r="A99" t="s">
        <v>81</v>
      </c>
      <c r="B99" s="7">
        <f t="shared" ref="B99:B115" si="20">C99-L99+K99</f>
        <v>1055961.1000000001</v>
      </c>
      <c r="C99" s="7">
        <v>985548.1</v>
      </c>
      <c r="D99" s="7">
        <v>929914.04799999995</v>
      </c>
      <c r="E99" s="7">
        <v>862892.94400000002</v>
      </c>
      <c r="F99" s="7">
        <v>756081.41799999995</v>
      </c>
      <c r="G99" s="7">
        <v>753756</v>
      </c>
      <c r="J99" t="s">
        <v>81</v>
      </c>
      <c r="K99" s="7">
        <v>549719</v>
      </c>
      <c r="L99" s="7">
        <v>479306</v>
      </c>
    </row>
    <row r="100" spans="1:12" x14ac:dyDescent="0.2">
      <c r="A100" t="s">
        <v>82</v>
      </c>
      <c r="B100" s="7">
        <f t="shared" si="20"/>
        <v>-224.00599999999997</v>
      </c>
      <c r="C100" s="7">
        <v>85.994</v>
      </c>
      <c r="D100" s="7">
        <v>31.635000000000002</v>
      </c>
      <c r="E100" s="7">
        <v>-3191.4560000000001</v>
      </c>
      <c r="F100" s="7">
        <v>-4159.0259999999998</v>
      </c>
      <c r="G100" s="7">
        <v>2759.346</v>
      </c>
      <c r="J100" t="s">
        <v>82</v>
      </c>
      <c r="K100" s="7">
        <v>114</v>
      </c>
      <c r="L100" s="7">
        <v>424</v>
      </c>
    </row>
    <row r="101" spans="1:12" x14ac:dyDescent="0.2">
      <c r="A101" t="s">
        <v>83</v>
      </c>
      <c r="B101" s="7">
        <f t="shared" si="20"/>
        <v>48607.733999999997</v>
      </c>
      <c r="C101" s="7">
        <v>4529.7340000000004</v>
      </c>
      <c r="D101" s="7">
        <v>-9363.9650000000001</v>
      </c>
      <c r="E101" s="7">
        <v>15824.985000000001</v>
      </c>
      <c r="F101" s="7">
        <v>19731.016</v>
      </c>
      <c r="G101" s="7">
        <v>-4328.0789999999997</v>
      </c>
      <c r="J101" t="s">
        <v>83</v>
      </c>
      <c r="K101" s="7">
        <v>40124</v>
      </c>
      <c r="L101" s="7">
        <v>-3954</v>
      </c>
    </row>
    <row r="102" spans="1:12" x14ac:dyDescent="0.2">
      <c r="A102" s="8" t="s">
        <v>157</v>
      </c>
      <c r="B102" s="7">
        <f t="shared" si="20"/>
        <v>0</v>
      </c>
      <c r="C102" s="7"/>
      <c r="D102" s="7"/>
      <c r="E102" s="7"/>
      <c r="F102" s="7"/>
      <c r="G102" s="7"/>
      <c r="J102" s="8" t="s">
        <v>157</v>
      </c>
    </row>
    <row r="103" spans="1:12" x14ac:dyDescent="0.2">
      <c r="A103" t="s">
        <v>152</v>
      </c>
      <c r="B103" s="7">
        <f t="shared" si="20"/>
        <v>-85</v>
      </c>
      <c r="J103" t="s">
        <v>152</v>
      </c>
      <c r="K103" s="7">
        <v>-85</v>
      </c>
      <c r="L103" s="7">
        <v>0</v>
      </c>
    </row>
    <row r="104" spans="1:12" x14ac:dyDescent="0.2">
      <c r="A104" t="s">
        <v>153</v>
      </c>
      <c r="B104" s="7">
        <f t="shared" si="20"/>
        <v>0</v>
      </c>
      <c r="C104" s="7">
        <v>0</v>
      </c>
      <c r="D104" s="7">
        <v>0</v>
      </c>
      <c r="E104" s="7">
        <v>-310247.62699999998</v>
      </c>
      <c r="F104" s="7">
        <v>0</v>
      </c>
      <c r="G104" s="7">
        <v>0</v>
      </c>
      <c r="J104" t="s">
        <v>153</v>
      </c>
    </row>
    <row r="105" spans="1:12" x14ac:dyDescent="0.2">
      <c r="A105" t="s">
        <v>84</v>
      </c>
      <c r="B105" s="7">
        <f t="shared" si="20"/>
        <v>0</v>
      </c>
      <c r="J105" t="s">
        <v>84</v>
      </c>
    </row>
    <row r="106" spans="1:12" x14ac:dyDescent="0.2">
      <c r="A106" t="s">
        <v>85</v>
      </c>
      <c r="B106" s="7">
        <f t="shared" si="20"/>
        <v>238.08899999999994</v>
      </c>
      <c r="C106" s="7">
        <v>486.089</v>
      </c>
      <c r="D106" s="7">
        <v>3820.3670000000002</v>
      </c>
      <c r="E106" s="7">
        <v>2235.5709999999999</v>
      </c>
      <c r="F106" s="7">
        <v>902.74400000000003</v>
      </c>
      <c r="G106" s="7">
        <v>-1220.4269999999999</v>
      </c>
      <c r="J106" t="s">
        <v>85</v>
      </c>
      <c r="K106" s="7">
        <v>-336</v>
      </c>
      <c r="L106" s="7">
        <v>-88</v>
      </c>
    </row>
    <row r="107" spans="1:12" x14ac:dyDescent="0.2">
      <c r="A107" t="s">
        <v>86</v>
      </c>
      <c r="B107" s="7">
        <f t="shared" si="20"/>
        <v>38.704999999999927</v>
      </c>
      <c r="C107" s="7">
        <v>1114.7049999999999</v>
      </c>
      <c r="D107" s="7">
        <v>0</v>
      </c>
      <c r="E107" s="7">
        <v>0</v>
      </c>
      <c r="F107" s="7">
        <v>0</v>
      </c>
      <c r="G107" s="7">
        <v>0</v>
      </c>
      <c r="J107" t="s">
        <v>86</v>
      </c>
      <c r="K107" s="7">
        <v>0</v>
      </c>
      <c r="L107" s="7">
        <v>1076</v>
      </c>
    </row>
    <row r="108" spans="1:12" x14ac:dyDescent="0.2">
      <c r="A108" t="s">
        <v>87</v>
      </c>
      <c r="B108" s="7">
        <f t="shared" si="20"/>
        <v>-1181.616</v>
      </c>
      <c r="C108" s="7">
        <v>-1181.616</v>
      </c>
      <c r="D108" s="7">
        <v>0</v>
      </c>
      <c r="E108" s="7">
        <v>0</v>
      </c>
      <c r="F108" s="7">
        <v>0</v>
      </c>
      <c r="G108" s="7">
        <v>0</v>
      </c>
      <c r="J108" t="s">
        <v>87</v>
      </c>
      <c r="K108" s="7">
        <v>0</v>
      </c>
      <c r="L108" s="7">
        <v>0</v>
      </c>
    </row>
    <row r="109" spans="1:12" x14ac:dyDescent="0.2">
      <c r="A109" t="s">
        <v>88</v>
      </c>
      <c r="B109" s="7">
        <f t="shared" si="20"/>
        <v>0</v>
      </c>
      <c r="C109" s="7">
        <v>0</v>
      </c>
      <c r="D109" s="7">
        <v>359.20400000000001</v>
      </c>
      <c r="E109" s="7">
        <v>0</v>
      </c>
      <c r="F109" s="7">
        <v>0</v>
      </c>
      <c r="G109" s="7">
        <v>0</v>
      </c>
      <c r="J109" t="s">
        <v>88</v>
      </c>
      <c r="K109" s="7">
        <v>0</v>
      </c>
      <c r="L109" s="7">
        <v>0</v>
      </c>
    </row>
    <row r="110" spans="1:12" x14ac:dyDescent="0.2">
      <c r="A110" t="s">
        <v>89</v>
      </c>
      <c r="B110" s="7">
        <f t="shared" si="20"/>
        <v>1493.3119999999999</v>
      </c>
      <c r="C110" s="7">
        <v>1493.3119999999999</v>
      </c>
      <c r="D110" s="7">
        <v>0</v>
      </c>
      <c r="E110" s="7">
        <v>1633.768</v>
      </c>
      <c r="F110" s="7">
        <v>0</v>
      </c>
      <c r="G110" s="7">
        <v>0</v>
      </c>
      <c r="J110" t="s">
        <v>89</v>
      </c>
      <c r="K110" s="7">
        <v>0</v>
      </c>
      <c r="L110" s="7">
        <v>0</v>
      </c>
    </row>
    <row r="111" spans="1:12" x14ac:dyDescent="0.2">
      <c r="A111" t="s">
        <v>90</v>
      </c>
      <c r="B111" s="7">
        <f t="shared" si="20"/>
        <v>8562.994999999999</v>
      </c>
      <c r="C111" s="7">
        <v>7812.9949999999999</v>
      </c>
      <c r="D111" s="7">
        <v>3579.7220000000002</v>
      </c>
      <c r="E111" s="7">
        <v>11401.378000000001</v>
      </c>
      <c r="F111" s="7">
        <v>4887.6239999999998</v>
      </c>
      <c r="G111" s="7">
        <v>10434.709000000001</v>
      </c>
      <c r="J111" t="s">
        <v>90</v>
      </c>
      <c r="K111" s="7">
        <v>5935</v>
      </c>
      <c r="L111" s="7">
        <v>5185</v>
      </c>
    </row>
    <row r="112" spans="1:12" x14ac:dyDescent="0.2">
      <c r="A112" t="s">
        <v>91</v>
      </c>
      <c r="B112" s="7">
        <f t="shared" si="20"/>
        <v>322</v>
      </c>
      <c r="C112" s="7">
        <v>0</v>
      </c>
      <c r="D112" s="7">
        <v>-2335.9699999999998</v>
      </c>
      <c r="E112" s="7">
        <v>0</v>
      </c>
      <c r="F112" s="7">
        <v>0</v>
      </c>
      <c r="G112" s="7">
        <v>0</v>
      </c>
      <c r="J112" t="s">
        <v>91</v>
      </c>
      <c r="K112" s="7">
        <v>0</v>
      </c>
      <c r="L112" s="7">
        <v>-322</v>
      </c>
    </row>
    <row r="113" spans="1:12" x14ac:dyDescent="0.2">
      <c r="A113" t="s">
        <v>92</v>
      </c>
      <c r="B113" s="7">
        <f t="shared" si="20"/>
        <v>-748541.53599999996</v>
      </c>
      <c r="C113" s="7">
        <v>-184009.53599999999</v>
      </c>
      <c r="D113" s="7">
        <v>19791.067999999999</v>
      </c>
      <c r="E113" s="7">
        <v>378778.75199999998</v>
      </c>
      <c r="F113" s="7">
        <v>-405707.22899999999</v>
      </c>
      <c r="G113" s="7">
        <v>239530.171</v>
      </c>
      <c r="J113" t="s">
        <v>92</v>
      </c>
      <c r="K113" s="7">
        <v>-350933</v>
      </c>
      <c r="L113" s="7">
        <v>213599</v>
      </c>
    </row>
    <row r="114" spans="1:12" x14ac:dyDescent="0.2">
      <c r="A114" t="s">
        <v>93</v>
      </c>
      <c r="B114" s="7">
        <f t="shared" si="20"/>
        <v>95890.71100000001</v>
      </c>
      <c r="C114" s="7">
        <v>62684.711000000003</v>
      </c>
      <c r="D114" s="7">
        <v>61447.360000000001</v>
      </c>
      <c r="E114" s="7">
        <v>56922.110999999997</v>
      </c>
      <c r="F114" s="7">
        <v>106857.63800000001</v>
      </c>
      <c r="G114" s="7">
        <v>113410.459</v>
      </c>
      <c r="J114" t="s">
        <v>93</v>
      </c>
      <c r="K114" s="7">
        <v>60945</v>
      </c>
      <c r="L114" s="7">
        <v>27739</v>
      </c>
    </row>
    <row r="115" spans="1:12" x14ac:dyDescent="0.2">
      <c r="A115" t="s">
        <v>94</v>
      </c>
      <c r="B115" s="7">
        <f t="shared" si="20"/>
        <v>-22876.231</v>
      </c>
      <c r="C115" s="7">
        <v>-19899.231</v>
      </c>
      <c r="D115" s="7">
        <v>-23445.201000000001</v>
      </c>
      <c r="E115" s="7">
        <v>-20494.123</v>
      </c>
      <c r="F115" s="7">
        <v>-16883.128000000001</v>
      </c>
      <c r="G115" s="7">
        <v>-15460.392</v>
      </c>
      <c r="J115" t="s">
        <v>94</v>
      </c>
      <c r="K115" s="7">
        <v>-12785</v>
      </c>
      <c r="L115" s="7">
        <v>-9808</v>
      </c>
    </row>
    <row r="116" spans="1:12" x14ac:dyDescent="0.2">
      <c r="A116" s="3" t="s">
        <v>95</v>
      </c>
      <c r="J116" s="3" t="s">
        <v>95</v>
      </c>
    </row>
    <row r="117" spans="1:12" x14ac:dyDescent="0.2">
      <c r="A117" s="3" t="s">
        <v>96</v>
      </c>
      <c r="B117" s="4">
        <f t="shared" ref="B117:G117" si="21">SUM(B96:B115)</f>
        <v>5249256.5830000024</v>
      </c>
      <c r="C117" s="4">
        <f t="shared" si="21"/>
        <v>4933711.5830000024</v>
      </c>
      <c r="D117" s="4">
        <f t="shared" si="21"/>
        <v>4226938.5270000007</v>
      </c>
      <c r="E117" s="4">
        <f t="shared" si="21"/>
        <v>3056146.8810000014</v>
      </c>
      <c r="F117" s="4">
        <f t="shared" si="21"/>
        <v>2835563.6539999992</v>
      </c>
      <c r="G117" s="4">
        <f t="shared" si="21"/>
        <v>2306977.7599999998</v>
      </c>
      <c r="J117" s="3" t="s">
        <v>96</v>
      </c>
      <c r="K117" s="4">
        <f>SUM(K96:K115)</f>
        <v>2667651</v>
      </c>
      <c r="L117" s="4">
        <f>SUM(L96:L115)</f>
        <v>2352106</v>
      </c>
    </row>
    <row r="118" spans="1:12" x14ac:dyDescent="0.2">
      <c r="A118" t="s">
        <v>97</v>
      </c>
      <c r="J118" t="s">
        <v>97</v>
      </c>
    </row>
    <row r="119" spans="1:12" x14ac:dyDescent="0.2">
      <c r="A119" t="s">
        <v>98</v>
      </c>
      <c r="B119" s="7">
        <f t="shared" ref="B119:B126" si="22">C119-L119+K119</f>
        <v>-1497923.2679999999</v>
      </c>
      <c r="C119" s="7">
        <v>-1789684.2679999999</v>
      </c>
      <c r="D119" s="7">
        <v>83264.581000000006</v>
      </c>
      <c r="E119" s="7">
        <v>-217671.5</v>
      </c>
      <c r="F119" s="7">
        <v>-109642.367</v>
      </c>
      <c r="G119" s="7">
        <v>-201490.913</v>
      </c>
      <c r="J119" t="s">
        <v>98</v>
      </c>
      <c r="K119" s="7">
        <v>-567025</v>
      </c>
      <c r="L119" s="7">
        <v>-858786</v>
      </c>
    </row>
    <row r="120" spans="1:12" x14ac:dyDescent="0.2">
      <c r="A120" t="s">
        <v>99</v>
      </c>
      <c r="B120" s="7">
        <f t="shared" si="22"/>
        <v>-2291430.8859999999</v>
      </c>
      <c r="C120" s="7">
        <v>-2159606.8859999999</v>
      </c>
      <c r="D120" s="7">
        <v>-525142.66799999995</v>
      </c>
      <c r="E120" s="7">
        <v>-30592.17</v>
      </c>
      <c r="F120" s="7">
        <v>-246388.38500000001</v>
      </c>
      <c r="G120" s="7">
        <v>-382977.05099999998</v>
      </c>
      <c r="J120" t="s">
        <v>99</v>
      </c>
      <c r="K120" s="7">
        <v>-1193799</v>
      </c>
      <c r="L120" s="7">
        <v>-1061975</v>
      </c>
    </row>
    <row r="121" spans="1:12" x14ac:dyDescent="0.2">
      <c r="A121" t="s">
        <v>100</v>
      </c>
      <c r="B121" s="7">
        <f t="shared" si="22"/>
        <v>-124020.46400000001</v>
      </c>
      <c r="C121" s="7">
        <v>-97297.464000000007</v>
      </c>
      <c r="D121" s="7">
        <v>44348.044999999998</v>
      </c>
      <c r="E121" s="7">
        <v>-633.178</v>
      </c>
      <c r="F121" s="7">
        <v>-185662.97200000001</v>
      </c>
      <c r="G121" s="7">
        <v>16027.904</v>
      </c>
      <c r="J121" t="s">
        <v>100</v>
      </c>
      <c r="K121" s="7">
        <v>-194767</v>
      </c>
      <c r="L121" s="7">
        <v>-168044</v>
      </c>
    </row>
    <row r="122" spans="1:12" x14ac:dyDescent="0.2">
      <c r="A122" t="s">
        <v>101</v>
      </c>
      <c r="B122" s="7">
        <f t="shared" si="22"/>
        <v>6277.7960000000021</v>
      </c>
      <c r="C122" s="7">
        <v>76710.796000000002</v>
      </c>
      <c r="D122" s="7">
        <v>-82241.922999999995</v>
      </c>
      <c r="E122" s="7">
        <v>929.66700000000003</v>
      </c>
      <c r="F122" s="7">
        <v>-5575.5159999999996</v>
      </c>
      <c r="G122" s="7">
        <v>-218.63900000000001</v>
      </c>
      <c r="J122" t="s">
        <v>101</v>
      </c>
      <c r="K122" s="7">
        <v>2181</v>
      </c>
      <c r="L122" s="7">
        <v>72614</v>
      </c>
    </row>
    <row r="123" spans="1:12" x14ac:dyDescent="0.2">
      <c r="A123" t="s">
        <v>102</v>
      </c>
      <c r="B123" s="7">
        <f t="shared" si="22"/>
        <v>0</v>
      </c>
      <c r="J123" t="s">
        <v>102</v>
      </c>
    </row>
    <row r="124" spans="1:12" x14ac:dyDescent="0.2">
      <c r="A124" t="s">
        <v>103</v>
      </c>
      <c r="B124" s="7">
        <f t="shared" si="22"/>
        <v>1061245.577</v>
      </c>
      <c r="C124" s="7">
        <v>776182.57700000005</v>
      </c>
      <c r="D124" s="7">
        <v>217940.32399999999</v>
      </c>
      <c r="E124" s="7">
        <v>-10685.456</v>
      </c>
      <c r="F124" s="7">
        <v>23436.156999999999</v>
      </c>
      <c r="G124" s="7">
        <v>-29330.316999999999</v>
      </c>
      <c r="J124" t="s">
        <v>103</v>
      </c>
      <c r="K124" s="7">
        <v>744349</v>
      </c>
      <c r="L124" s="7">
        <v>459286</v>
      </c>
    </row>
    <row r="125" spans="1:12" x14ac:dyDescent="0.2">
      <c r="A125" t="s">
        <v>104</v>
      </c>
      <c r="B125" s="7">
        <f t="shared" si="22"/>
        <v>-48667.038</v>
      </c>
      <c r="C125" s="7">
        <v>218615.962</v>
      </c>
      <c r="D125" s="7">
        <v>29203.078000000001</v>
      </c>
      <c r="E125" s="7">
        <v>97676.491999999998</v>
      </c>
      <c r="F125" s="7">
        <v>92493.862999999998</v>
      </c>
      <c r="G125" s="7">
        <v>22382.493999999999</v>
      </c>
      <c r="J125" t="s">
        <v>104</v>
      </c>
      <c r="K125" s="7">
        <v>-222199</v>
      </c>
      <c r="L125" s="7">
        <v>45084</v>
      </c>
    </row>
    <row r="126" spans="1:12" x14ac:dyDescent="0.2">
      <c r="A126" t="s">
        <v>105</v>
      </c>
      <c r="B126" s="7">
        <f t="shared" si="22"/>
        <v>-962.60900000000004</v>
      </c>
      <c r="C126" s="7">
        <v>-962.60900000000004</v>
      </c>
      <c r="D126" s="7">
        <v>-4853.4539999999997</v>
      </c>
      <c r="E126" s="7">
        <v>-2047.5419999999999</v>
      </c>
      <c r="F126" s="7">
        <v>-4318.0420000000004</v>
      </c>
      <c r="G126" s="7">
        <v>-5242.8530000000001</v>
      </c>
      <c r="J126" t="s">
        <v>105</v>
      </c>
      <c r="K126" s="7"/>
      <c r="L126" s="7"/>
    </row>
    <row r="127" spans="1:12" x14ac:dyDescent="0.2">
      <c r="A127" s="3" t="s">
        <v>106</v>
      </c>
      <c r="B127" s="4">
        <f>SUM(B117:B126)</f>
        <v>2353775.691000002</v>
      </c>
      <c r="C127" s="4">
        <f>SUM(C117:C126)</f>
        <v>1957669.6910000024</v>
      </c>
      <c r="D127" s="4">
        <f>SUM(D117:D126)</f>
        <v>3989456.5100000012</v>
      </c>
      <c r="E127" s="4">
        <f t="shared" ref="E127:G127" si="23">SUM(E117:E126)</f>
        <v>2893123.194000002</v>
      </c>
      <c r="F127" s="4">
        <f t="shared" si="23"/>
        <v>2399906.3919999991</v>
      </c>
      <c r="G127" s="4">
        <f t="shared" si="23"/>
        <v>1726128.3849999998</v>
      </c>
      <c r="J127" s="3" t="s">
        <v>106</v>
      </c>
      <c r="K127" s="4">
        <f>SUM(K117:K126)</f>
        <v>1236391</v>
      </c>
      <c r="L127" s="4">
        <f>SUM(L117:L126)</f>
        <v>840285</v>
      </c>
    </row>
    <row r="128" spans="1:12" x14ac:dyDescent="0.2">
      <c r="A128" t="s">
        <v>107</v>
      </c>
      <c r="B128" s="7">
        <f>C128-L128+K128</f>
        <v>-526296.64599999995</v>
      </c>
      <c r="C128" s="7">
        <v>-166210.64600000001</v>
      </c>
      <c r="D128" s="7">
        <v>-42816.800999999999</v>
      </c>
      <c r="E128" s="7">
        <v>-30785.584999999999</v>
      </c>
      <c r="F128" s="7">
        <v>-41725.502</v>
      </c>
      <c r="G128" s="7">
        <v>-29700.921999999999</v>
      </c>
      <c r="J128" t="s">
        <v>107</v>
      </c>
      <c r="K128" s="7">
        <v>-448960</v>
      </c>
      <c r="L128" s="7">
        <v>-88874</v>
      </c>
    </row>
    <row r="129" spans="1:12" x14ac:dyDescent="0.2">
      <c r="A129" s="3" t="s">
        <v>108</v>
      </c>
      <c r="B129" s="4">
        <f>SUM(B127:B128)</f>
        <v>1827479.045000002</v>
      </c>
      <c r="C129" s="4">
        <f>SUM(C127:C128)</f>
        <v>1791459.0450000025</v>
      </c>
      <c r="D129" s="4">
        <f t="shared" ref="D129:G129" si="24">SUM(D127:D128)</f>
        <v>3946639.7090000012</v>
      </c>
      <c r="E129" s="4">
        <f t="shared" si="24"/>
        <v>2862337.609000002</v>
      </c>
      <c r="F129" s="4">
        <f t="shared" si="24"/>
        <v>2358180.8899999992</v>
      </c>
      <c r="G129" s="4">
        <f t="shared" si="24"/>
        <v>1696427.4629999998</v>
      </c>
      <c r="J129" s="3" t="s">
        <v>108</v>
      </c>
      <c r="K129" s="4">
        <f>SUM(K127:K128)</f>
        <v>787431</v>
      </c>
      <c r="L129" s="4">
        <f>SUM(L127:L128)</f>
        <v>751411</v>
      </c>
    </row>
    <row r="132" spans="1:12" x14ac:dyDescent="0.2">
      <c r="A132" s="3" t="s">
        <v>109</v>
      </c>
      <c r="J132" s="3" t="s">
        <v>109</v>
      </c>
    </row>
    <row r="133" spans="1:12" x14ac:dyDescent="0.2">
      <c r="A133" t="s">
        <v>110</v>
      </c>
      <c r="B133" s="7">
        <f t="shared" ref="B133:B146" si="25">C133-L133+K133</f>
        <v>21526.437999999998</v>
      </c>
      <c r="C133" s="7">
        <v>20820.437999999998</v>
      </c>
      <c r="D133" s="7">
        <v>22665.496999999999</v>
      </c>
      <c r="E133" s="7">
        <v>20557.967000000001</v>
      </c>
      <c r="F133" s="7">
        <v>18102.492999999999</v>
      </c>
      <c r="G133" s="7">
        <v>14533.638999999999</v>
      </c>
      <c r="J133" t="s">
        <v>110</v>
      </c>
      <c r="K133" s="7">
        <v>11170</v>
      </c>
      <c r="L133" s="7">
        <v>10464</v>
      </c>
    </row>
    <row r="134" spans="1:12" x14ac:dyDescent="0.2">
      <c r="A134" t="s">
        <v>111</v>
      </c>
      <c r="B134" s="7">
        <f t="shared" si="25"/>
        <v>-11709.763999999999</v>
      </c>
      <c r="C134" s="7">
        <v>-11452.763999999999</v>
      </c>
      <c r="D134" s="7">
        <v>-1167.479</v>
      </c>
      <c r="E134" s="7">
        <v>54671.216</v>
      </c>
      <c r="F134" s="7">
        <v>-55344.381999999998</v>
      </c>
      <c r="G134" s="7">
        <v>4346.9780000000001</v>
      </c>
      <c r="J134" t="s">
        <v>111</v>
      </c>
      <c r="K134" s="7">
        <v>-1043</v>
      </c>
      <c r="L134" s="7">
        <v>-786</v>
      </c>
    </row>
    <row r="135" spans="1:12" x14ac:dyDescent="0.2">
      <c r="A135" t="s">
        <v>112</v>
      </c>
      <c r="B135" s="7">
        <f t="shared" si="25"/>
        <v>0</v>
      </c>
      <c r="C135" s="7">
        <v>0</v>
      </c>
      <c r="D135" s="7">
        <v>-67127.501000000004</v>
      </c>
      <c r="E135" s="7">
        <v>13177.907999999999</v>
      </c>
      <c r="F135" s="7">
        <v>-8677.9079999999994</v>
      </c>
      <c r="G135" s="7">
        <v>2315.9409999999998</v>
      </c>
      <c r="J135" t="s">
        <v>112</v>
      </c>
      <c r="K135" s="7"/>
      <c r="L135" s="7"/>
    </row>
    <row r="136" spans="1:12" x14ac:dyDescent="0.2">
      <c r="A136" t="s">
        <v>113</v>
      </c>
      <c r="B136" s="7">
        <f t="shared" si="25"/>
        <v>-0.1870000000053551</v>
      </c>
      <c r="C136" s="7">
        <v>73304.812999999995</v>
      </c>
      <c r="D136" s="7">
        <v>0</v>
      </c>
      <c r="E136" s="7">
        <v>0</v>
      </c>
      <c r="F136" s="7">
        <v>0</v>
      </c>
      <c r="G136" s="7">
        <v>0</v>
      </c>
      <c r="J136" t="s">
        <v>113</v>
      </c>
      <c r="K136" s="7">
        <v>0</v>
      </c>
      <c r="L136" s="7">
        <v>73305</v>
      </c>
    </row>
    <row r="137" spans="1:12" x14ac:dyDescent="0.2">
      <c r="A137" t="s">
        <v>114</v>
      </c>
      <c r="B137" s="7">
        <f t="shared" si="25"/>
        <v>70635.039999999994</v>
      </c>
      <c r="C137" s="7">
        <v>70635.039999999994</v>
      </c>
      <c r="D137" s="7">
        <v>0</v>
      </c>
      <c r="E137" s="7">
        <v>0</v>
      </c>
      <c r="F137" s="7">
        <v>0</v>
      </c>
      <c r="G137" s="7">
        <v>0</v>
      </c>
      <c r="J137" t="s">
        <v>114</v>
      </c>
      <c r="K137" s="7">
        <v>0</v>
      </c>
      <c r="L137" s="7"/>
    </row>
    <row r="138" spans="1:12" x14ac:dyDescent="0.2">
      <c r="A138" t="s">
        <v>115</v>
      </c>
      <c r="B138" s="7">
        <f t="shared" si="25"/>
        <v>-282119.95699999999</v>
      </c>
      <c r="C138" s="7">
        <v>-135682.95699999999</v>
      </c>
      <c r="D138" s="7">
        <v>-314398.69500000001</v>
      </c>
      <c r="E138" s="7">
        <v>0</v>
      </c>
      <c r="F138" s="7">
        <v>0</v>
      </c>
      <c r="G138" s="7">
        <v>0</v>
      </c>
      <c r="J138" t="s">
        <v>115</v>
      </c>
      <c r="K138" s="7">
        <v>-181276</v>
      </c>
      <c r="L138" s="7">
        <v>-34839</v>
      </c>
    </row>
    <row r="139" spans="1:12" x14ac:dyDescent="0.2">
      <c r="A139" t="s">
        <v>116</v>
      </c>
      <c r="B139" s="7">
        <f t="shared" si="25"/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J139" t="s">
        <v>116</v>
      </c>
      <c r="K139" s="7">
        <v>0</v>
      </c>
      <c r="L139" s="7">
        <v>0</v>
      </c>
    </row>
    <row r="140" spans="1:12" x14ac:dyDescent="0.2">
      <c r="A140" t="s">
        <v>117</v>
      </c>
      <c r="B140" s="7">
        <f t="shared" si="25"/>
        <v>0</v>
      </c>
      <c r="J140" t="s">
        <v>117</v>
      </c>
    </row>
    <row r="141" spans="1:12" x14ac:dyDescent="0.2">
      <c r="A141" t="s">
        <v>118</v>
      </c>
      <c r="B141" s="7">
        <f t="shared" si="25"/>
        <v>-51898.494000000006</v>
      </c>
      <c r="C141" s="7">
        <v>141940.50599999999</v>
      </c>
      <c r="D141" s="7">
        <v>-250206.64799999999</v>
      </c>
      <c r="E141" s="7">
        <v>59191.048999999999</v>
      </c>
      <c r="F141" s="7">
        <v>-123520.45299999999</v>
      </c>
      <c r="G141" s="7">
        <v>-212758.07800000001</v>
      </c>
      <c r="J141" t="s">
        <v>118</v>
      </c>
      <c r="K141" s="7">
        <v>-52916</v>
      </c>
      <c r="L141" s="7">
        <v>140923</v>
      </c>
    </row>
    <row r="142" spans="1:12" x14ac:dyDescent="0.2">
      <c r="A142" t="s">
        <v>119</v>
      </c>
      <c r="B142" s="7">
        <f t="shared" si="25"/>
        <v>0</v>
      </c>
      <c r="J142" t="s">
        <v>119</v>
      </c>
    </row>
    <row r="143" spans="1:12" x14ac:dyDescent="0.2">
      <c r="A143" t="s">
        <v>118</v>
      </c>
      <c r="B143" s="7">
        <f t="shared" si="25"/>
        <v>129306.058</v>
      </c>
      <c r="C143" s="7">
        <v>22516.058000000001</v>
      </c>
      <c r="D143" s="7">
        <v>-711.69399999999996</v>
      </c>
      <c r="E143" s="7">
        <v>54610.292000000001</v>
      </c>
      <c r="F143" s="7">
        <v>-11765.13</v>
      </c>
      <c r="G143" s="7">
        <v>7880.8360000000002</v>
      </c>
      <c r="J143" t="s">
        <v>118</v>
      </c>
      <c r="K143" s="7">
        <v>171444</v>
      </c>
      <c r="L143" s="7">
        <v>64654</v>
      </c>
    </row>
    <row r="144" spans="1:12" x14ac:dyDescent="0.2">
      <c r="A144" t="s">
        <v>120</v>
      </c>
      <c r="B144" s="7">
        <f t="shared" si="25"/>
        <v>11639.536</v>
      </c>
      <c r="C144" s="7">
        <v>1365.5360000000001</v>
      </c>
      <c r="D144" s="7">
        <v>9943.5470000000005</v>
      </c>
      <c r="E144" s="7">
        <v>2256.1909999999998</v>
      </c>
      <c r="F144" s="7">
        <v>9135.8310000000001</v>
      </c>
      <c r="G144" s="7">
        <v>2663.9140000000002</v>
      </c>
      <c r="J144" t="s">
        <v>120</v>
      </c>
      <c r="K144" s="7">
        <v>10593</v>
      </c>
      <c r="L144" s="7">
        <v>319</v>
      </c>
    </row>
    <row r="145" spans="1:12" x14ac:dyDescent="0.2">
      <c r="A145" t="s">
        <v>121</v>
      </c>
      <c r="B145" s="7">
        <f t="shared" si="25"/>
        <v>-1333066.1429999999</v>
      </c>
      <c r="C145" s="7">
        <v>-1715841.1429999999</v>
      </c>
      <c r="D145" s="7">
        <v>-1862446.9839999999</v>
      </c>
      <c r="E145" s="7">
        <v>-1854741.86</v>
      </c>
      <c r="F145" s="7">
        <v>-1319447.7350000001</v>
      </c>
      <c r="G145" s="7">
        <v>-336852.92599999998</v>
      </c>
      <c r="J145" t="s">
        <v>121</v>
      </c>
      <c r="K145" s="7">
        <v>-706838</v>
      </c>
      <c r="L145" s="7">
        <v>-1089613</v>
      </c>
    </row>
    <row r="146" spans="1:12" x14ac:dyDescent="0.2">
      <c r="A146" t="s">
        <v>122</v>
      </c>
      <c r="B146" s="7">
        <f t="shared" si="25"/>
        <v>-325.33499999999998</v>
      </c>
      <c r="C146" s="7">
        <v>-58.335000000000001</v>
      </c>
      <c r="D146" s="7">
        <v>-118.932</v>
      </c>
      <c r="E146" s="7">
        <v>-218.31299999999999</v>
      </c>
      <c r="F146" s="7">
        <v>-801.03099999999995</v>
      </c>
      <c r="G146" s="7">
        <v>-1305.5329999999999</v>
      </c>
      <c r="J146" t="s">
        <v>122</v>
      </c>
      <c r="K146" s="7">
        <v>-267</v>
      </c>
      <c r="L146" s="7">
        <v>0</v>
      </c>
    </row>
    <row r="147" spans="1:12" x14ac:dyDescent="0.2">
      <c r="A147" s="3" t="s">
        <v>123</v>
      </c>
      <c r="B147" s="4">
        <f>SUM(B133:B146)</f>
        <v>-1446012.808</v>
      </c>
      <c r="C147" s="4">
        <f>SUM(C133:C146)</f>
        <v>-1532452.808</v>
      </c>
      <c r="D147" s="4">
        <f t="shared" ref="D147:G147" si="26">SUM(D133:D146)</f>
        <v>-2463568.889</v>
      </c>
      <c r="E147" s="4">
        <f t="shared" si="26"/>
        <v>-1650495.5500000003</v>
      </c>
      <c r="F147" s="4">
        <f t="shared" si="26"/>
        <v>-1492318.3149999999</v>
      </c>
      <c r="G147" s="4">
        <f t="shared" si="26"/>
        <v>-519175.22899999999</v>
      </c>
      <c r="J147" s="3" t="s">
        <v>123</v>
      </c>
      <c r="K147" s="4">
        <f>SUM(K133:K146)</f>
        <v>-749133</v>
      </c>
      <c r="L147" s="4">
        <f>SUM(L133:L146)</f>
        <v>-835573</v>
      </c>
    </row>
    <row r="148" spans="1:12" x14ac:dyDescent="0.2">
      <c r="B148"/>
      <c r="C148"/>
      <c r="D148"/>
      <c r="E148"/>
      <c r="F148"/>
      <c r="G148"/>
      <c r="K148"/>
      <c r="L148"/>
    </row>
    <row r="149" spans="1:12" x14ac:dyDescent="0.2">
      <c r="A149" s="3" t="s">
        <v>124</v>
      </c>
      <c r="J149" s="3" t="s">
        <v>124</v>
      </c>
    </row>
    <row r="150" spans="1:12" x14ac:dyDescent="0.2">
      <c r="A150" t="s">
        <v>125</v>
      </c>
      <c r="B150" s="7">
        <f t="shared" ref="B150:B156" si="27">C150-L150+K150</f>
        <v>685064</v>
      </c>
      <c r="C150" s="7">
        <v>703000</v>
      </c>
      <c r="D150" s="7">
        <v>-256627.75</v>
      </c>
      <c r="E150" s="7">
        <v>-688893.75</v>
      </c>
      <c r="F150" s="7">
        <v>-80321.875</v>
      </c>
      <c r="G150" s="7">
        <v>961794.94799999997</v>
      </c>
      <c r="J150" t="s">
        <v>125</v>
      </c>
      <c r="K150" s="7">
        <v>230717</v>
      </c>
      <c r="L150" s="7">
        <v>248653</v>
      </c>
    </row>
    <row r="151" spans="1:12" x14ac:dyDescent="0.2">
      <c r="A151" t="s">
        <v>126</v>
      </c>
      <c r="B151" s="7">
        <f t="shared" si="27"/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J151" t="s">
        <v>126</v>
      </c>
      <c r="K151" s="7">
        <v>0</v>
      </c>
      <c r="L151" s="7"/>
    </row>
    <row r="152" spans="1:12" x14ac:dyDescent="0.2">
      <c r="A152" t="s">
        <v>127</v>
      </c>
      <c r="B152" s="7">
        <f t="shared" si="27"/>
        <v>119245.576</v>
      </c>
      <c r="C152" s="7">
        <v>713245.576</v>
      </c>
      <c r="D152" s="7">
        <v>-34767.578999999998</v>
      </c>
      <c r="E152" s="7">
        <v>602114.90899999999</v>
      </c>
      <c r="F152" s="7">
        <v>-400266.62599999999</v>
      </c>
      <c r="G152" s="7">
        <v>-959972.71699999995</v>
      </c>
      <c r="J152" t="s">
        <v>127</v>
      </c>
      <c r="K152" s="7">
        <v>-169789</v>
      </c>
      <c r="L152" s="7">
        <v>424211</v>
      </c>
    </row>
    <row r="153" spans="1:12" x14ac:dyDescent="0.2">
      <c r="A153" t="s">
        <v>128</v>
      </c>
      <c r="B153" s="7">
        <f t="shared" si="27"/>
        <v>-0.125</v>
      </c>
      <c r="C153" s="7">
        <v>17461.875</v>
      </c>
      <c r="D153" s="7">
        <v>25083.125</v>
      </c>
      <c r="E153" s="7">
        <v>0</v>
      </c>
      <c r="F153" s="7">
        <v>0</v>
      </c>
      <c r="G153" s="7">
        <v>0</v>
      </c>
      <c r="J153" t="s">
        <v>128</v>
      </c>
      <c r="K153" s="7">
        <v>0</v>
      </c>
      <c r="L153" s="7">
        <v>17462</v>
      </c>
    </row>
    <row r="154" spans="1:12" x14ac:dyDescent="0.2">
      <c r="A154" t="s">
        <v>129</v>
      </c>
      <c r="B154" s="7">
        <f t="shared" si="27"/>
        <v>-19312.328999999998</v>
      </c>
      <c r="C154" s="7">
        <v>-11254.329</v>
      </c>
      <c r="D154" s="7">
        <v>-5051.8559999999998</v>
      </c>
      <c r="E154" s="7">
        <v>0</v>
      </c>
      <c r="F154" s="7">
        <v>0</v>
      </c>
      <c r="G154" s="7">
        <v>0</v>
      </c>
      <c r="J154" t="s">
        <v>129</v>
      </c>
      <c r="K154" s="7">
        <v>-11224</v>
      </c>
      <c r="L154" s="7">
        <v>-3166</v>
      </c>
    </row>
    <row r="155" spans="1:12" x14ac:dyDescent="0.2">
      <c r="A155" t="s">
        <v>130</v>
      </c>
      <c r="B155" s="7">
        <f t="shared" si="27"/>
        <v>-100796.47100000001</v>
      </c>
      <c r="C155" s="7">
        <v>-70817.471000000005</v>
      </c>
      <c r="D155" s="7">
        <v>-66768.398000000001</v>
      </c>
      <c r="E155" s="7">
        <v>-80225.460999999996</v>
      </c>
      <c r="F155" s="7">
        <v>-108316.401</v>
      </c>
      <c r="G155" s="7">
        <v>-114291.345</v>
      </c>
      <c r="J155" t="s">
        <v>130</v>
      </c>
      <c r="K155" s="7">
        <v>-60951</v>
      </c>
      <c r="L155" s="7">
        <v>-30972</v>
      </c>
    </row>
    <row r="156" spans="1:12" x14ac:dyDescent="0.2">
      <c r="A156" t="s">
        <v>131</v>
      </c>
      <c r="B156" s="7">
        <f t="shared" si="27"/>
        <v>-1179000</v>
      </c>
      <c r="C156" s="7">
        <v>-1287000</v>
      </c>
      <c r="D156" s="7">
        <v>-747000</v>
      </c>
      <c r="E156" s="7">
        <v>-621891.93799999997</v>
      </c>
      <c r="F156" s="7">
        <v>-613783.875</v>
      </c>
      <c r="G156" s="7">
        <v>-492689.53200000001</v>
      </c>
      <c r="J156" t="s">
        <v>131</v>
      </c>
      <c r="K156" s="7">
        <v>-306000</v>
      </c>
      <c r="L156" s="7">
        <v>-414000</v>
      </c>
    </row>
    <row r="157" spans="1:12" x14ac:dyDescent="0.2">
      <c r="A157" s="3" t="s">
        <v>132</v>
      </c>
      <c r="B157" s="4">
        <f>SUM(B150:B156)</f>
        <v>-494799.34900000005</v>
      </c>
      <c r="C157" s="4">
        <f>SUM(C150:C156)</f>
        <v>64635.651000000071</v>
      </c>
      <c r="D157" s="4">
        <f t="shared" ref="D157:G157" si="28">SUM(D150:D156)</f>
        <v>-1085132.4580000001</v>
      </c>
      <c r="E157" s="4">
        <f t="shared" si="28"/>
        <v>-788896.24</v>
      </c>
      <c r="F157" s="4">
        <f t="shared" si="28"/>
        <v>-1202688.777</v>
      </c>
      <c r="G157" s="4">
        <f t="shared" si="28"/>
        <v>-605158.64599999995</v>
      </c>
      <c r="J157" s="3" t="s">
        <v>132</v>
      </c>
      <c r="K157" s="4">
        <f>SUM(K150:K156)</f>
        <v>-317247</v>
      </c>
      <c r="L157" s="4">
        <f>SUM(L150:L156)</f>
        <v>242188</v>
      </c>
    </row>
    <row r="158" spans="1:12" x14ac:dyDescent="0.2">
      <c r="A158" t="s">
        <v>133</v>
      </c>
      <c r="B158" s="7">
        <f>C158-L158+K158</f>
        <v>172436.45300000001</v>
      </c>
      <c r="C158" s="7">
        <v>157904.45300000001</v>
      </c>
      <c r="D158" s="7">
        <v>117577.121</v>
      </c>
      <c r="E158" s="7">
        <v>-74593.201000000001</v>
      </c>
      <c r="F158" s="7">
        <v>-137294.33499999999</v>
      </c>
      <c r="G158" s="7">
        <v>27326.55</v>
      </c>
      <c r="J158" t="s">
        <v>133</v>
      </c>
      <c r="K158" s="7">
        <v>411564</v>
      </c>
      <c r="L158" s="7">
        <v>397032</v>
      </c>
    </row>
    <row r="159" spans="1:12" x14ac:dyDescent="0.2">
      <c r="A159" s="3" t="s">
        <v>134</v>
      </c>
      <c r="B159" s="4">
        <f>SUM(B157,B158,B129,B147)</f>
        <v>59103.34100000211</v>
      </c>
      <c r="C159" s="4">
        <f>SUM(C157,C158,C129,C147)</f>
        <v>481546.34100000258</v>
      </c>
      <c r="D159" s="4">
        <f t="shared" ref="D159:G159" si="29">SUM(D157,D158,D129,D147)</f>
        <v>515515.4830000014</v>
      </c>
      <c r="E159" s="4">
        <f t="shared" si="29"/>
        <v>348352.61800000165</v>
      </c>
      <c r="F159" s="4">
        <f t="shared" si="29"/>
        <v>-474120.53700000071</v>
      </c>
      <c r="G159" s="4">
        <f t="shared" si="29"/>
        <v>599420.1379999998</v>
      </c>
      <c r="J159" s="3" t="s">
        <v>134</v>
      </c>
      <c r="K159" s="4">
        <f>SUM(K157,K158,K129,K147)</f>
        <v>132615</v>
      </c>
      <c r="L159" s="4">
        <f>SUM(L157,L158,L129,L147)</f>
        <v>555058</v>
      </c>
    </row>
    <row r="160" spans="1:12" x14ac:dyDescent="0.2">
      <c r="A160" t="s">
        <v>135</v>
      </c>
      <c r="B160" s="2">
        <f>L5</f>
        <v>2274919</v>
      </c>
      <c r="C160" s="2">
        <f>D161</f>
        <v>1719861.3680000021</v>
      </c>
      <c r="D160" s="2">
        <f t="shared" ref="D160:F160" si="30">E161</f>
        <v>1204345.8850000007</v>
      </c>
      <c r="E160" s="2">
        <f t="shared" si="30"/>
        <v>855993.26699999906</v>
      </c>
      <c r="F160" s="2">
        <f t="shared" si="30"/>
        <v>1330113.8039999998</v>
      </c>
      <c r="G160" s="7">
        <v>730693.66599999997</v>
      </c>
      <c r="J160" t="s">
        <v>135</v>
      </c>
      <c r="K160" s="7">
        <v>2201408</v>
      </c>
      <c r="L160" s="7">
        <v>1719861</v>
      </c>
    </row>
    <row r="161" spans="1:12" x14ac:dyDescent="0.2">
      <c r="A161" s="3" t="s">
        <v>136</v>
      </c>
      <c r="B161" s="4">
        <f>SUM(B159:B160)</f>
        <v>2334022.3410000019</v>
      </c>
      <c r="C161" s="4">
        <f>SUM(C159:C160)</f>
        <v>2201407.7090000045</v>
      </c>
      <c r="D161" s="4">
        <f t="shared" ref="D161:F161" si="31">SUM(D159:D160)</f>
        <v>1719861.3680000021</v>
      </c>
      <c r="E161" s="4">
        <f t="shared" si="31"/>
        <v>1204345.8850000007</v>
      </c>
      <c r="F161" s="4">
        <f t="shared" si="31"/>
        <v>855993.26699999906</v>
      </c>
      <c r="G161" s="4">
        <f>SUM(G159:G160)</f>
        <v>1330113.8039999998</v>
      </c>
      <c r="J161" s="3" t="s">
        <v>136</v>
      </c>
      <c r="K161" s="4">
        <f>SUM(K159:K160)</f>
        <v>2334023</v>
      </c>
      <c r="L161" s="4">
        <f>SUM(L159:L160)</f>
        <v>2274919</v>
      </c>
    </row>
    <row r="163" spans="1:12" x14ac:dyDescent="0.2">
      <c r="A163" s="1" t="s">
        <v>137</v>
      </c>
      <c r="J163" s="1" t="s">
        <v>137</v>
      </c>
    </row>
    <row r="164" spans="1:12" x14ac:dyDescent="0.2">
      <c r="A164" s="1" t="s">
        <v>138</v>
      </c>
      <c r="J164" s="1" t="s">
        <v>138</v>
      </c>
    </row>
    <row r="165" spans="1:12" x14ac:dyDescent="0.2">
      <c r="A165" s="1" t="s">
        <v>139</v>
      </c>
      <c r="B165" s="7"/>
      <c r="C165" s="7">
        <v>87565.339000000007</v>
      </c>
      <c r="D165" s="7">
        <v>63809.728999999999</v>
      </c>
      <c r="E165" s="7">
        <v>64847.110999999997</v>
      </c>
      <c r="F165" s="7">
        <v>9889.15</v>
      </c>
      <c r="G165" s="7">
        <v>21786.584999999999</v>
      </c>
      <c r="J165" s="1" t="s">
        <v>139</v>
      </c>
      <c r="K165" s="7">
        <v>262291</v>
      </c>
      <c r="L165" s="7">
        <v>131121</v>
      </c>
    </row>
    <row r="166" spans="1:12" x14ac:dyDescent="0.2">
      <c r="A166" s="1" t="s">
        <v>140</v>
      </c>
      <c r="B166" s="7"/>
      <c r="C166" s="7">
        <v>24025.564999999999</v>
      </c>
      <c r="D166" s="7">
        <v>18356.401999999998</v>
      </c>
      <c r="J166" s="1" t="s">
        <v>140</v>
      </c>
      <c r="K166" s="7">
        <v>31117</v>
      </c>
      <c r="L166" s="7">
        <v>16494</v>
      </c>
    </row>
    <row r="167" spans="1:12" x14ac:dyDescent="0.2">
      <c r="A167" s="1" t="s">
        <v>141</v>
      </c>
      <c r="J167" s="1" t="s">
        <v>141</v>
      </c>
    </row>
    <row r="168" spans="1:12" x14ac:dyDescent="0.2">
      <c r="A168" s="1" t="s">
        <v>142</v>
      </c>
      <c r="J168" s="1" t="s">
        <v>142</v>
      </c>
    </row>
    <row r="169" spans="1:12" x14ac:dyDescent="0.2">
      <c r="A169" s="1" t="s">
        <v>143</v>
      </c>
      <c r="B169" s="7"/>
      <c r="C169" s="7">
        <v>-13278.49</v>
      </c>
      <c r="D169" s="7">
        <v>4563.2449999999999</v>
      </c>
      <c r="J169" s="1" t="s">
        <v>143</v>
      </c>
      <c r="K169" s="7"/>
      <c r="L169" s="7"/>
    </row>
    <row r="170" spans="1:12" x14ac:dyDescent="0.2">
      <c r="A170" s="1" t="s">
        <v>144</v>
      </c>
      <c r="J170" s="1" t="s">
        <v>144</v>
      </c>
    </row>
    <row r="171" spans="1:12" x14ac:dyDescent="0.2">
      <c r="A171" s="1" t="s">
        <v>145</v>
      </c>
      <c r="J171" s="1" t="s">
        <v>145</v>
      </c>
    </row>
    <row r="172" spans="1:12" x14ac:dyDescent="0.2">
      <c r="A172" s="1" t="s">
        <v>146</v>
      </c>
      <c r="B172" s="7"/>
      <c r="C172" s="7">
        <v>1053.9580000000001</v>
      </c>
      <c r="D172" s="7">
        <v>0</v>
      </c>
      <c r="J172" s="1" t="s">
        <v>146</v>
      </c>
      <c r="K172" s="7">
        <v>15095</v>
      </c>
      <c r="L172" s="7">
        <v>1589</v>
      </c>
    </row>
    <row r="173" spans="1:12" x14ac:dyDescent="0.2">
      <c r="A173" s="1" t="s">
        <v>147</v>
      </c>
      <c r="B173" s="7"/>
      <c r="C173" s="7">
        <v>4417.2240000000002</v>
      </c>
      <c r="D173" s="7">
        <v>2438.1689999999999</v>
      </c>
      <c r="J173" s="1" t="s">
        <v>147</v>
      </c>
      <c r="K173" s="7">
        <v>2107</v>
      </c>
      <c r="L173" s="7">
        <v>-3649</v>
      </c>
    </row>
    <row r="176" spans="1:12" x14ac:dyDescent="0.2">
      <c r="A176" s="1" t="s">
        <v>158</v>
      </c>
      <c r="B176" s="10"/>
      <c r="C176" s="10">
        <f>C69/D69</f>
        <v>1.4226275185557395</v>
      </c>
      <c r="D176" s="10">
        <f>D69/E69</f>
        <v>1.0778274533368439</v>
      </c>
      <c r="E176" s="10">
        <f>E69/F69</f>
        <v>0.95284621946639347</v>
      </c>
      <c r="F176" s="10">
        <f>F69/G69</f>
        <v>1.1635949087644177</v>
      </c>
      <c r="G176" s="10">
        <f>G69/K69</f>
        <v>0.88021030233907038</v>
      </c>
      <c r="J176" s="1"/>
    </row>
    <row r="177" spans="1:11" x14ac:dyDescent="0.2">
      <c r="A177" s="1" t="s">
        <v>159</v>
      </c>
      <c r="B177" s="9"/>
      <c r="C177" s="9">
        <f>C75/D75</f>
        <v>1.4664067025273104</v>
      </c>
      <c r="D177" s="9">
        <f>D75/E75</f>
        <v>0.96879515056134213</v>
      </c>
      <c r="E177" s="9">
        <f>E75/F75</f>
        <v>0.9329636511416296</v>
      </c>
      <c r="F177" s="9">
        <f>F75/G75</f>
        <v>1.152017590043326</v>
      </c>
      <c r="G177" s="9">
        <f>G75/K75</f>
        <v>0.9135247929389787</v>
      </c>
      <c r="J177" s="1"/>
    </row>
    <row r="178" spans="1:11" x14ac:dyDescent="0.2">
      <c r="A178" s="1" t="s">
        <v>160</v>
      </c>
      <c r="B178" s="9"/>
      <c r="C178" s="9">
        <f>C129/D129</f>
        <v>0.45392008824994112</v>
      </c>
      <c r="D178" s="9">
        <f t="shared" ref="D178:F178" si="32">D129/E129</f>
        <v>1.3788169839192432</v>
      </c>
      <c r="E178" s="9">
        <f t="shared" si="32"/>
        <v>1.2137905201156995</v>
      </c>
      <c r="F178" s="9">
        <f t="shared" si="32"/>
        <v>1.3900864855310349</v>
      </c>
      <c r="G178" s="9">
        <f>G129/K129</f>
        <v>2.1543823687408796</v>
      </c>
      <c r="J178" s="1"/>
    </row>
    <row r="179" spans="1:11" x14ac:dyDescent="0.2">
      <c r="A179" s="1" t="s">
        <v>161</v>
      </c>
      <c r="B179" s="9"/>
      <c r="C179" s="9">
        <f>C128/C129</f>
        <v>-9.277948411039437E-2</v>
      </c>
      <c r="D179" s="9">
        <f t="shared" ref="D179:G179" si="33">D128/D129</f>
        <v>-1.084892570820682E-2</v>
      </c>
      <c r="E179" s="9">
        <f t="shared" si="33"/>
        <v>-1.0755399678640766E-2</v>
      </c>
      <c r="F179" s="9">
        <f t="shared" si="33"/>
        <v>-1.7693936108523045E-2</v>
      </c>
      <c r="G179" s="9">
        <f t="shared" si="33"/>
        <v>-1.7507923355282302E-2</v>
      </c>
      <c r="J179" s="1"/>
    </row>
    <row r="181" spans="1:11" x14ac:dyDescent="0.2">
      <c r="A181" s="1" t="s">
        <v>166</v>
      </c>
      <c r="B181" s="11"/>
      <c r="C181" s="11">
        <f>1-C75/C69</f>
        <v>0.28988231310702328</v>
      </c>
      <c r="D181" s="11">
        <f>1-D75/D69</f>
        <v>0.31108268869339639</v>
      </c>
      <c r="E181" s="11">
        <f>1-E75/E69</f>
        <v>0.2335490214055872</v>
      </c>
      <c r="F181" s="11">
        <f>1-F75/F69</f>
        <v>0.21721503676337939</v>
      </c>
      <c r="G181" s="11">
        <f>1-G75/G69</f>
        <v>0.20934835912946614</v>
      </c>
    </row>
    <row r="182" spans="1:11" x14ac:dyDescent="0.2">
      <c r="A182" s="1" t="s">
        <v>167</v>
      </c>
      <c r="B182" s="11"/>
      <c r="C182" s="11">
        <f>C90/C69</f>
        <v>0.16546443353639126</v>
      </c>
      <c r="D182" s="11">
        <f>D90/D69</f>
        <v>0.19627531918775759</v>
      </c>
      <c r="E182" s="11">
        <f>E90/E69</f>
        <v>0.12858968402423668</v>
      </c>
      <c r="F182" s="11">
        <f>F90/F69</f>
        <v>0.15818076713347201</v>
      </c>
      <c r="G182" s="11">
        <f>G90/G69</f>
        <v>9.2926931563385537E-2</v>
      </c>
    </row>
    <row r="184" spans="1:11" x14ac:dyDescent="0.2">
      <c r="A184" s="1" t="s">
        <v>170</v>
      </c>
      <c r="B184" s="10"/>
      <c r="C184" s="10">
        <f>C69/C7</f>
        <v>5.3390767698587887</v>
      </c>
      <c r="D184" s="10">
        <f>D69/D7</f>
        <v>6.6783487586548249</v>
      </c>
      <c r="E184" s="10">
        <f>E69/E7</f>
        <v>5.8275378150017207</v>
      </c>
      <c r="F184" s="10">
        <f>F69/F7</f>
        <v>6.9563522339484933</v>
      </c>
      <c r="G184" s="10">
        <f>G69/G7</f>
        <v>6.3377547463338901</v>
      </c>
    </row>
    <row r="186" spans="1:11" x14ac:dyDescent="0.2">
      <c r="A186" s="1" t="s">
        <v>203</v>
      </c>
      <c r="B186" s="11"/>
      <c r="C186" s="11">
        <f>C89/C88</f>
        <v>-0.1251874016118853</v>
      </c>
      <c r="D186" s="11">
        <f>D89/D88</f>
        <v>-8.3459462861300793E-2</v>
      </c>
      <c r="E186" s="11">
        <f>E89/E88</f>
        <v>-0.12308186889796573</v>
      </c>
      <c r="F186" s="11">
        <f>F89/F88</f>
        <v>-1.7393597248700616E-2</v>
      </c>
      <c r="G186" s="11">
        <f>G89/G88</f>
        <v>-2.5194415576451894E-2</v>
      </c>
      <c r="K186" s="11">
        <f>K89/K88</f>
        <v>-0.1146271105154502</v>
      </c>
    </row>
    <row r="188" spans="1:11" x14ac:dyDescent="0.2">
      <c r="A188" t="s">
        <v>168</v>
      </c>
      <c r="C188" s="12">
        <f>Data!C90/Data!C63</f>
        <v>0.19891407796868554</v>
      </c>
      <c r="D188" s="12">
        <f>Data!D90/Data!D63</f>
        <v>0.19378331716596725</v>
      </c>
      <c r="E188" s="12">
        <f>Data!E90/Data!E63</f>
        <v>0.13982612748883427</v>
      </c>
      <c r="F188" s="12">
        <f>Data!F90/Data!F63</f>
        <v>0.20090651789324063</v>
      </c>
      <c r="G188" s="12">
        <f>Data!G90/Data!G63</f>
        <v>0.1117400439548259</v>
      </c>
      <c r="H188" s="15"/>
      <c r="I188" s="15"/>
      <c r="J188" s="15"/>
      <c r="K188" s="12">
        <f>Data!K90/Data!K63</f>
        <v>0.10364231397427542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1B7A-379C-D44B-B73C-232F6A108F4F}">
  <dimension ref="A1:Q185"/>
  <sheetViews>
    <sheetView tabSelected="1" topLeftCell="A12" workbookViewId="0">
      <selection activeCell="G26" sqref="G26"/>
    </sheetView>
  </sheetViews>
  <sheetFormatPr baseColWidth="10" defaultRowHeight="16" x14ac:dyDescent="0.2"/>
  <cols>
    <col min="1" max="1" width="59.33203125" bestFit="1" customWidth="1"/>
    <col min="2" max="2" width="14.1640625" bestFit="1" customWidth="1"/>
    <col min="3" max="3" width="11.6640625" bestFit="1" customWidth="1"/>
    <col min="4" max="6" width="13" bestFit="1" customWidth="1"/>
    <col min="7" max="7" width="18.33203125" style="2" bestFit="1" customWidth="1"/>
    <col min="8" max="11" width="14.1640625" style="2" bestFit="1" customWidth="1"/>
  </cols>
  <sheetData>
    <row r="1" spans="1:11" x14ac:dyDescent="0.2">
      <c r="B1" s="17" t="s">
        <v>205</v>
      </c>
      <c r="C1" s="17"/>
      <c r="D1" s="17"/>
      <c r="E1" s="17"/>
      <c r="F1" s="17"/>
      <c r="G1" s="21" t="s">
        <v>206</v>
      </c>
      <c r="H1" s="21"/>
      <c r="I1" s="21"/>
      <c r="J1" s="21"/>
      <c r="K1" s="21"/>
    </row>
    <row r="2" spans="1:11" x14ac:dyDescent="0.2">
      <c r="A2" t="s">
        <v>180</v>
      </c>
      <c r="B2">
        <v>2018</v>
      </c>
      <c r="C2">
        <v>2019</v>
      </c>
      <c r="D2">
        <v>2020</v>
      </c>
      <c r="E2">
        <v>2021</v>
      </c>
      <c r="F2">
        <v>2022</v>
      </c>
      <c r="G2" s="2">
        <v>2023</v>
      </c>
      <c r="H2" s="2">
        <v>2024</v>
      </c>
      <c r="I2" s="2">
        <v>2025</v>
      </c>
      <c r="J2" s="2">
        <v>2026</v>
      </c>
      <c r="K2" s="2">
        <v>2027</v>
      </c>
    </row>
    <row r="3" spans="1:11" x14ac:dyDescent="0.2">
      <c r="A3" t="s">
        <v>208</v>
      </c>
      <c r="G3" s="2">
        <v>1</v>
      </c>
      <c r="H3" s="2">
        <v>2</v>
      </c>
      <c r="I3" s="2">
        <v>3</v>
      </c>
      <c r="J3" s="2">
        <v>4</v>
      </c>
      <c r="K3" s="2">
        <v>5</v>
      </c>
    </row>
    <row r="5" spans="1:11" x14ac:dyDescent="0.2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1</v>
      </c>
      <c r="B6" s="7">
        <f>Data!G69</f>
        <v>12672953.698000001</v>
      </c>
      <c r="C6" s="7">
        <f>Data!F69</f>
        <v>14746184.402000001</v>
      </c>
      <c r="D6" s="7">
        <f>Data!E69</f>
        <v>14050846.059</v>
      </c>
      <c r="E6" s="7">
        <f>Data!D69</f>
        <v>15144387.625</v>
      </c>
      <c r="F6" s="7">
        <f>Data!C69</f>
        <v>21544822.587000001</v>
      </c>
      <c r="G6" s="2">
        <f>F6*(1+'Assumptions for 3 Statement'!$I$3)</f>
        <v>23699304.845700003</v>
      </c>
      <c r="H6" s="2">
        <f>G6*(1+'Assumptions for 3 Statement'!$I$3)</f>
        <v>26069235.330270007</v>
      </c>
      <c r="I6" s="2">
        <f>H6*(1+'Assumptions for 3 Statement'!$I$3)</f>
        <v>28676158.863297012</v>
      </c>
      <c r="J6" s="2">
        <f>I6*(1+'Assumptions for 3 Statement'!$I$3)</f>
        <v>31543774.749626715</v>
      </c>
      <c r="K6" s="2">
        <f>J6*(1+'Assumptions for 3 Statement'!$I$3)</f>
        <v>34698152.224589393</v>
      </c>
    </row>
    <row r="7" spans="1:11" x14ac:dyDescent="0.2">
      <c r="A7" t="s">
        <v>2</v>
      </c>
      <c r="B7" s="7">
        <f>Data!G70</f>
        <v>0</v>
      </c>
      <c r="C7" s="7">
        <f>Data!F70</f>
        <v>450286.951</v>
      </c>
      <c r="D7" s="7">
        <f>Data!E70</f>
        <v>0</v>
      </c>
      <c r="E7" s="7">
        <f>Data!D70</f>
        <v>1243.596</v>
      </c>
      <c r="F7" s="7">
        <f>Data!C70</f>
        <v>351774.15700000001</v>
      </c>
      <c r="G7" s="2">
        <f>'Assumptions for 3 Statement'!I4</f>
        <v>0</v>
      </c>
      <c r="H7" s="2">
        <f>'Assumptions for 3 Statement'!J4</f>
        <v>0</v>
      </c>
      <c r="I7" s="2">
        <f>'Assumptions for 3 Statement'!K4</f>
        <v>0</v>
      </c>
      <c r="J7" s="2">
        <f>'Assumptions for 3 Statement'!L4</f>
        <v>0</v>
      </c>
      <c r="K7" s="2">
        <f>'Assumptions for 3 Statement'!M4</f>
        <v>0</v>
      </c>
    </row>
    <row r="8" spans="1:11" x14ac:dyDescent="0.2">
      <c r="A8" t="s">
        <v>3</v>
      </c>
      <c r="B8" s="7">
        <f>Data!G71</f>
        <v>0</v>
      </c>
      <c r="C8" s="7">
        <f>Data!F71</f>
        <v>0</v>
      </c>
      <c r="D8" s="7">
        <f>Data!E71</f>
        <v>0</v>
      </c>
      <c r="E8" s="7">
        <f>Data!D71</f>
        <v>12067.647000000001</v>
      </c>
      <c r="F8" s="7">
        <f>Data!C71</f>
        <v>0</v>
      </c>
      <c r="G8" s="2">
        <f>'Assumptions for 3 Statement'!I5</f>
        <v>0</v>
      </c>
      <c r="H8" s="2">
        <f>'Assumptions for 3 Statement'!J5</f>
        <v>0</v>
      </c>
      <c r="I8" s="2">
        <f>'Assumptions for 3 Statement'!K5</f>
        <v>0</v>
      </c>
      <c r="J8" s="2">
        <f>'Assumptions for 3 Statement'!L5</f>
        <v>0</v>
      </c>
      <c r="K8" s="2">
        <f>'Assumptions for 3 Statement'!M5</f>
        <v>0</v>
      </c>
    </row>
    <row r="9" spans="1:11" x14ac:dyDescent="0.2">
      <c r="A9" t="s">
        <v>4</v>
      </c>
      <c r="B9" s="7">
        <f>Data!G72</f>
        <v>54502.252</v>
      </c>
      <c r="C9" s="7">
        <f>Data!F72</f>
        <v>67575.974000000002</v>
      </c>
      <c r="D9" s="7">
        <f>Data!E72</f>
        <v>63178.85</v>
      </c>
      <c r="E9" s="7">
        <f>Data!D72</f>
        <v>34845.767</v>
      </c>
      <c r="F9" s="7">
        <f>Data!C72</f>
        <v>40312.169000000002</v>
      </c>
      <c r="G9" s="2">
        <f>(1+'Assumptions for 3 Statement'!$B$3)*F9</f>
        <v>44343.385900000008</v>
      </c>
      <c r="H9" s="2">
        <f>(1+'Assumptions for 3 Statement'!$B$3)*G9</f>
        <v>48777.724490000015</v>
      </c>
      <c r="I9" s="2">
        <f>(1+'Assumptions for 3 Statement'!$B$3)*H9</f>
        <v>53655.496939000019</v>
      </c>
      <c r="J9" s="2">
        <f>(1+'Assumptions for 3 Statement'!$B$3)*I9</f>
        <v>59021.046632900026</v>
      </c>
      <c r="K9" s="2">
        <f>(1+'Assumptions for 3 Statement'!$B$3)*J9</f>
        <v>64923.151296190037</v>
      </c>
    </row>
    <row r="10" spans="1:11" x14ac:dyDescent="0.2">
      <c r="A10" s="3" t="s">
        <v>5</v>
      </c>
      <c r="B10" s="4">
        <f t="shared" ref="B10:K10" si="0">SUM(B6:B9)</f>
        <v>12727455.950000001</v>
      </c>
      <c r="C10" s="4">
        <f t="shared" si="0"/>
        <v>15264047.327</v>
      </c>
      <c r="D10" s="4">
        <f t="shared" si="0"/>
        <v>14114024.909</v>
      </c>
      <c r="E10" s="4">
        <f t="shared" si="0"/>
        <v>15192544.635000002</v>
      </c>
      <c r="F10" s="4">
        <f t="shared" si="0"/>
        <v>21936908.913000003</v>
      </c>
      <c r="G10" s="4">
        <f t="shared" si="0"/>
        <v>23743648.231600001</v>
      </c>
      <c r="H10" s="4">
        <f t="shared" si="0"/>
        <v>26118013.054760009</v>
      </c>
      <c r="I10" s="4">
        <f t="shared" si="0"/>
        <v>28729814.360236011</v>
      </c>
      <c r="J10" s="4">
        <f t="shared" si="0"/>
        <v>31602795.796259616</v>
      </c>
      <c r="K10" s="4">
        <f t="shared" si="0"/>
        <v>34763075.375885583</v>
      </c>
    </row>
    <row r="11" spans="1:11" x14ac:dyDescent="0.2">
      <c r="A11" s="5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t="s">
        <v>7</v>
      </c>
      <c r="B12" s="7">
        <f>Data!G75</f>
        <v>10019891.636</v>
      </c>
      <c r="C12" s="7">
        <f>Data!F75</f>
        <v>11543091.414999999</v>
      </c>
      <c r="D12" s="7">
        <f>Data!E75</f>
        <v>10769284.711999999</v>
      </c>
      <c r="E12" s="7">
        <f>Data!D75</f>
        <v>10433230.804</v>
      </c>
      <c r="F12" s="7">
        <f>Data!C75</f>
        <v>15299359.58</v>
      </c>
      <c r="G12" s="2">
        <f>G6*(1-'Assumptions for 3 Statement'!I8)</f>
        <v>17721973.207849547</v>
      </c>
      <c r="H12" s="2">
        <f>H6*(1-'Assumptions for 3 Statement'!J8)</f>
        <v>19494170.528634503</v>
      </c>
      <c r="I12" s="2">
        <f>I6*(1-'Assumptions for 3 Statement'!K8)</f>
        <v>21443587.581497956</v>
      </c>
      <c r="J12" s="2">
        <f>J6*(1-'Assumptions for 3 Statement'!L8)</f>
        <v>23587946.339647755</v>
      </c>
      <c r="K12" s="2">
        <f>K6*(1-'Assumptions for 3 Statement'!M8)</f>
        <v>25946740.973612536</v>
      </c>
    </row>
    <row r="13" spans="1:11" x14ac:dyDescent="0.2">
      <c r="A13" t="s">
        <v>8</v>
      </c>
      <c r="B13" s="7">
        <f>Data!G76</f>
        <v>754702.64199999999</v>
      </c>
      <c r="C13" s="7">
        <f>Data!F76</f>
        <v>825878.61399999994</v>
      </c>
      <c r="D13" s="7">
        <f>Data!E76</f>
        <v>761616.09699999995</v>
      </c>
      <c r="E13" s="7">
        <f>Data!D76</f>
        <v>970867.35499999998</v>
      </c>
      <c r="F13" s="7">
        <f>Data!C76</f>
        <v>1957190.4820000001</v>
      </c>
      <c r="G13" s="2">
        <f>G6*'Assumptions for 3 Statement'!I9</f>
        <v>1539094.0319962804</v>
      </c>
      <c r="H13" s="2">
        <f>H6*'Assumptions for 3 Statement'!J9</f>
        <v>1693003.4351959086</v>
      </c>
      <c r="I13" s="2">
        <f>I6*'Assumptions for 3 Statement'!K9</f>
        <v>1862303.7787154999</v>
      </c>
      <c r="J13" s="2">
        <f>J6*'Assumptions for 3 Statement'!L9</f>
        <v>2048534.1565870501</v>
      </c>
      <c r="K13" s="2">
        <f>K6*'Assumptions for 3 Statement'!M9</f>
        <v>2253387.5722457552</v>
      </c>
    </row>
    <row r="14" spans="1:11" x14ac:dyDescent="0.2">
      <c r="A14" t="s">
        <v>9</v>
      </c>
      <c r="B14" s="7">
        <f>Data!G77</f>
        <v>358387.82299999997</v>
      </c>
      <c r="C14" s="7">
        <f>Data!F77</f>
        <v>409172.90299999999</v>
      </c>
      <c r="D14" s="7">
        <f>Data!E77</f>
        <v>466196.25</v>
      </c>
      <c r="E14" s="7">
        <f>Data!D77</f>
        <v>507304.05900000001</v>
      </c>
      <c r="F14" s="7">
        <f>Data!C77</f>
        <v>538743.902</v>
      </c>
      <c r="G14" s="2">
        <f>G6*'Assumptions for 3 Statement'!I10</f>
        <v>700125.96816671349</v>
      </c>
      <c r="H14" s="2">
        <f>H6*'Assumptions for 3 Statement'!J10</f>
        <v>770138.56498338492</v>
      </c>
      <c r="I14" s="2">
        <f>I6*'Assumptions for 3 Statement'!K10</f>
        <v>847152.42148172355</v>
      </c>
      <c r="J14" s="2">
        <f>J6*'Assumptions for 3 Statement'!L10</f>
        <v>931867.66362989589</v>
      </c>
      <c r="K14" s="2">
        <f>K6*'Assumptions for 3 Statement'!M10</f>
        <v>1025054.4299928857</v>
      </c>
    </row>
    <row r="15" spans="1:11" x14ac:dyDescent="0.2">
      <c r="A15" t="s">
        <v>148</v>
      </c>
      <c r="B15" s="7"/>
      <c r="C15" s="7"/>
      <c r="D15" s="7"/>
      <c r="E15" s="7"/>
      <c r="F15" s="7"/>
    </row>
    <row r="16" spans="1:11" x14ac:dyDescent="0.2">
      <c r="A16" t="s">
        <v>149</v>
      </c>
      <c r="B16" s="7">
        <f>Data!G79</f>
        <v>0</v>
      </c>
      <c r="C16" s="7">
        <f>Data!F79</f>
        <v>0</v>
      </c>
      <c r="D16" s="7">
        <f>Data!E79</f>
        <v>0</v>
      </c>
      <c r="E16" s="7">
        <f>Data!D79</f>
        <v>0</v>
      </c>
      <c r="F16" s="7">
        <f>Data!C79</f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">
      <c r="A17" t="s">
        <v>150</v>
      </c>
      <c r="B17" s="7"/>
      <c r="C17" s="7"/>
      <c r="D17" s="7"/>
      <c r="E17" s="7"/>
      <c r="F17" s="7"/>
    </row>
    <row r="18" spans="1:11" x14ac:dyDescent="0.2">
      <c r="A18" t="s">
        <v>151</v>
      </c>
      <c r="B18" s="7">
        <f>Data!G81</f>
        <v>0</v>
      </c>
      <c r="C18" s="7">
        <f>Data!F81</f>
        <v>0</v>
      </c>
      <c r="D18" s="7">
        <f>Data!E81</f>
        <v>-310247.62699999998</v>
      </c>
      <c r="E18" s="7">
        <f>Data!D81</f>
        <v>0</v>
      </c>
      <c r="F18" s="7">
        <f>Data!C81</f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t="s">
        <v>10</v>
      </c>
      <c r="B19" s="7">
        <f>Data!G82</f>
        <v>263957.69099999999</v>
      </c>
      <c r="C19" s="7">
        <f>Data!F82</f>
        <v>0</v>
      </c>
      <c r="D19" s="7">
        <f>Data!E82</f>
        <v>267602.59000000003</v>
      </c>
      <c r="E19" s="7">
        <f>Data!D82</f>
        <v>0</v>
      </c>
      <c r="F19" s="7">
        <f>Data!C82</f>
        <v>0</v>
      </c>
      <c r="G19" s="2">
        <f>'Assumptions for 3 Statement'!I4</f>
        <v>0</v>
      </c>
      <c r="H19" s="2">
        <f>'Assumptions for 3 Statement'!J4</f>
        <v>0</v>
      </c>
      <c r="I19" s="2">
        <f>'Assumptions for 3 Statement'!K4</f>
        <v>0</v>
      </c>
      <c r="J19" s="2">
        <f>'Assumptions for 3 Statement'!L4</f>
        <v>0</v>
      </c>
      <c r="K19" s="2">
        <f>'Assumptions for 3 Statement'!M4</f>
        <v>0</v>
      </c>
    </row>
    <row r="20" spans="1:11" x14ac:dyDescent="0.2">
      <c r="A20" t="s">
        <v>11</v>
      </c>
      <c r="B20" s="7">
        <f>Data!G83</f>
        <v>0</v>
      </c>
      <c r="C20" s="7">
        <f>Data!F83</f>
        <v>0</v>
      </c>
      <c r="D20" s="7">
        <f>Data!E83</f>
        <v>43493.822999999997</v>
      </c>
      <c r="E20" s="7">
        <f>Data!D83</f>
        <v>0</v>
      </c>
      <c r="F20" s="7">
        <f>Data!C83</f>
        <v>23783.124</v>
      </c>
      <c r="G20" s="2">
        <f>'Assumptions for 3 Statement'!I5</f>
        <v>0</v>
      </c>
      <c r="H20" s="2">
        <f>'Assumptions for 3 Statement'!J5</f>
        <v>0</v>
      </c>
      <c r="I20" s="2">
        <f>'Assumptions for 3 Statement'!K5</f>
        <v>0</v>
      </c>
      <c r="J20" s="2">
        <f>'Assumptions for 3 Statement'!L5</f>
        <v>0</v>
      </c>
      <c r="K20" s="2">
        <f>'Assumptions for 3 Statement'!M5</f>
        <v>0</v>
      </c>
    </row>
    <row r="21" spans="1:11" x14ac:dyDescent="0.2">
      <c r="A21" s="3" t="s">
        <v>12</v>
      </c>
      <c r="B21" s="4">
        <f t="shared" ref="B21:K21" si="1">SUM(B12:B20)</f>
        <v>11396939.792000001</v>
      </c>
      <c r="C21" s="4">
        <f t="shared" si="1"/>
        <v>12778142.932</v>
      </c>
      <c r="D21" s="4">
        <f t="shared" si="1"/>
        <v>11997945.844999999</v>
      </c>
      <c r="E21" s="4">
        <f t="shared" si="1"/>
        <v>11911402.218</v>
      </c>
      <c r="F21" s="4">
        <f t="shared" si="1"/>
        <v>17819077.088</v>
      </c>
      <c r="G21" s="4">
        <f t="shared" si="1"/>
        <v>19961193.20801254</v>
      </c>
      <c r="H21" s="4">
        <f t="shared" si="1"/>
        <v>21957312.528813798</v>
      </c>
      <c r="I21" s="4">
        <f t="shared" si="1"/>
        <v>24153043.78169518</v>
      </c>
      <c r="J21" s="4">
        <f t="shared" si="1"/>
        <v>26568348.159864701</v>
      </c>
      <c r="K21" s="4">
        <f t="shared" si="1"/>
        <v>29225182.975851174</v>
      </c>
    </row>
    <row r="22" spans="1:11" x14ac:dyDescent="0.2">
      <c r="A22" s="3" t="s">
        <v>267</v>
      </c>
      <c r="B22" s="4">
        <f t="shared" ref="B22:K22" si="2">SUM(B10-B21)</f>
        <v>1330516.1579999998</v>
      </c>
      <c r="C22" s="4">
        <f t="shared" si="2"/>
        <v>2485904.3949999996</v>
      </c>
      <c r="D22" s="4">
        <f t="shared" si="2"/>
        <v>2116079.0640000012</v>
      </c>
      <c r="E22" s="4">
        <f t="shared" si="2"/>
        <v>3281142.4170000013</v>
      </c>
      <c r="F22" s="4">
        <f t="shared" si="2"/>
        <v>4117831.825000003</v>
      </c>
      <c r="G22" s="4">
        <f>SUM(G10-G21)</f>
        <v>3782455.0235874616</v>
      </c>
      <c r="H22" s="4">
        <f t="shared" si="2"/>
        <v>4160700.5259462111</v>
      </c>
      <c r="I22" s="4">
        <f t="shared" si="2"/>
        <v>4576770.5785408318</v>
      </c>
      <c r="J22" s="4">
        <f t="shared" si="2"/>
        <v>5034447.6363949142</v>
      </c>
      <c r="K22" s="4">
        <f t="shared" si="2"/>
        <v>5537892.400034409</v>
      </c>
    </row>
    <row r="23" spans="1:11" x14ac:dyDescent="0.2">
      <c r="A23" t="s">
        <v>14</v>
      </c>
      <c r="B23" s="7">
        <f>Data!G86</f>
        <v>0</v>
      </c>
      <c r="C23" s="7">
        <f>Data!F86</f>
        <v>0</v>
      </c>
      <c r="D23" s="7">
        <f>Data!E86</f>
        <v>10672.365</v>
      </c>
      <c r="E23" s="7">
        <f>Data!D86</f>
        <v>23445.201000000001</v>
      </c>
      <c r="F23" s="7">
        <f>Data!C86</f>
        <v>19899.239000000001</v>
      </c>
      <c r="G23" s="2">
        <f>'Assumptions for 3 Statement'!I12</f>
        <v>21735.906271337448</v>
      </c>
      <c r="H23" s="2">
        <f>'Assumptions for 3 Statement'!J12</f>
        <v>28846.188856488414</v>
      </c>
      <c r="I23" s="2">
        <f>'Assumptions for 3 Statement'!K12</f>
        <v>43802.875381184851</v>
      </c>
      <c r="J23" s="2">
        <f>'Assumptions for 3 Statement'!L12</f>
        <v>58114.875815490181</v>
      </c>
      <c r="K23" s="2">
        <f>'Assumptions for 3 Statement'!M12</f>
        <v>72379.264968420874</v>
      </c>
    </row>
    <row r="24" spans="1:11" x14ac:dyDescent="0.2">
      <c r="A24" t="s">
        <v>15</v>
      </c>
      <c r="B24" s="7">
        <f>Data!G87</f>
        <v>-122420.185</v>
      </c>
      <c r="C24" s="7">
        <f>Data!F87</f>
        <v>-112051.798</v>
      </c>
      <c r="D24" s="7">
        <f>Data!E87</f>
        <v>-66360.850999999995</v>
      </c>
      <c r="E24" s="7">
        <f>Data!D87</f>
        <v>-61447.358999999997</v>
      </c>
      <c r="F24" s="7">
        <f>Data!C87</f>
        <v>-62684.737999999998</v>
      </c>
      <c r="G24" s="2">
        <f>'Assumptions for 3 Statement'!I66</f>
        <v>-106275.36811635051</v>
      </c>
      <c r="H24" s="2">
        <f>'Assumptions for 3 Statement'!J66</f>
        <v>-133418.57036545465</v>
      </c>
      <c r="I24" s="2">
        <f>'Assumptions for 3 Statement'!K66</f>
        <v>-151474.70055725001</v>
      </c>
      <c r="J24" s="2">
        <f>'Assumptions for 3 Statement'!L66</f>
        <v>-159535.05148600572</v>
      </c>
      <c r="K24" s="2">
        <f>'Assumptions for 3 Statement'!M66</f>
        <v>-168401.43750763702</v>
      </c>
    </row>
    <row r="25" spans="1:11" x14ac:dyDescent="0.2">
      <c r="A25" t="s">
        <v>17</v>
      </c>
      <c r="B25" s="7">
        <f>Data!G89</f>
        <v>-30437.272000000001</v>
      </c>
      <c r="C25" s="7">
        <f>Data!F89</f>
        <v>-41289.836000000003</v>
      </c>
      <c r="D25" s="7">
        <f>Data!E89</f>
        <v>-253596.723</v>
      </c>
      <c r="E25" s="7">
        <f>Data!D89</f>
        <v>-270670.74400000001</v>
      </c>
      <c r="F25" s="7">
        <f>Data!C89</f>
        <v>-510144.46100000001</v>
      </c>
      <c r="G25" s="2">
        <f>G22*'Assumptions for 3 Statement'!I32</f>
        <v>-756491.00471749238</v>
      </c>
      <c r="H25" s="2">
        <f>H22*'Assumptions for 3 Statement'!J32</f>
        <v>-832140.10518924228</v>
      </c>
      <c r="I25" s="2">
        <f>I22*'Assumptions for 3 Statement'!K32</f>
        <v>-915354.11570816638</v>
      </c>
      <c r="J25" s="2">
        <f>J22*'Assumptions for 3 Statement'!L32</f>
        <v>-1006889.5272789829</v>
      </c>
      <c r="K25" s="2">
        <f>K22*'Assumptions for 3 Statement'!M32</f>
        <v>-1107578.4800068818</v>
      </c>
    </row>
    <row r="26" spans="1:11" x14ac:dyDescent="0.2">
      <c r="A26" s="3" t="s">
        <v>18</v>
      </c>
      <c r="B26" s="4">
        <f t="shared" ref="B26:K26" si="3">SUM(B22:B25)</f>
        <v>1177658.7009999997</v>
      </c>
      <c r="C26" s="4">
        <f t="shared" si="3"/>
        <v>2332562.7609999995</v>
      </c>
      <c r="D26" s="4">
        <f t="shared" si="3"/>
        <v>1806793.8550000014</v>
      </c>
      <c r="E26" s="4">
        <f t="shared" si="3"/>
        <v>2972469.5150000011</v>
      </c>
      <c r="F26" s="4">
        <f t="shared" si="3"/>
        <v>3564901.865000003</v>
      </c>
      <c r="G26" s="4">
        <f>SUM(G22:G25)</f>
        <v>2941424.5570249562</v>
      </c>
      <c r="H26" s="4">
        <f t="shared" si="3"/>
        <v>3223988.0392480027</v>
      </c>
      <c r="I26" s="4">
        <f t="shared" si="3"/>
        <v>3553744.6376566007</v>
      </c>
      <c r="J26" s="4">
        <f t="shared" si="3"/>
        <v>3926137.9334454155</v>
      </c>
      <c r="K26" s="4">
        <f t="shared" si="3"/>
        <v>4334291.7474883115</v>
      </c>
    </row>
    <row r="28" spans="1:11" x14ac:dyDescent="0.2">
      <c r="A28" s="5" t="s">
        <v>19</v>
      </c>
      <c r="B28" s="16"/>
      <c r="C28" s="16"/>
      <c r="D28" s="16"/>
      <c r="E28" s="16"/>
      <c r="F28" s="16"/>
      <c r="G28" s="5"/>
      <c r="H28" s="5"/>
      <c r="I28" s="5"/>
      <c r="J28" s="5"/>
      <c r="K28" s="5"/>
    </row>
    <row r="29" spans="1:11" x14ac:dyDescent="0.2">
      <c r="A29" s="3" t="s">
        <v>20</v>
      </c>
    </row>
    <row r="30" spans="1:11" x14ac:dyDescent="0.2">
      <c r="A30" t="s">
        <v>21</v>
      </c>
      <c r="B30" s="7">
        <f>Data!G5</f>
        <v>1330113.8039999998</v>
      </c>
      <c r="C30" s="7">
        <f>Data!F5</f>
        <v>855993.26699999906</v>
      </c>
      <c r="D30" s="7">
        <f>Data!E5</f>
        <v>1204345.8850000007</v>
      </c>
      <c r="E30" s="7">
        <f>Data!D5</f>
        <v>1719861.3680000021</v>
      </c>
      <c r="F30" s="7">
        <f>Data!C5</f>
        <v>2201407.7090000045</v>
      </c>
      <c r="G30" s="2">
        <f>G143</f>
        <v>2145773.5452674855</v>
      </c>
      <c r="H30" s="2">
        <f t="shared" ref="H30:K30" si="4">H143</f>
        <v>3623464.2260301975</v>
      </c>
      <c r="I30" s="2">
        <f t="shared" si="4"/>
        <v>5137110.8502067728</v>
      </c>
      <c r="J30" s="2">
        <f t="shared" si="4"/>
        <v>6485864.3128912626</v>
      </c>
      <c r="K30" s="2">
        <f t="shared" si="4"/>
        <v>7989988.6807929119</v>
      </c>
    </row>
    <row r="31" spans="1:11" x14ac:dyDescent="0.2">
      <c r="A31" t="s">
        <v>154</v>
      </c>
      <c r="B31" s="7">
        <f>Data!G6</f>
        <v>4500</v>
      </c>
      <c r="C31" s="7">
        <f>Data!F6</f>
        <v>13177.907999999999</v>
      </c>
      <c r="D31" s="7">
        <f>Data!E6</f>
        <v>0</v>
      </c>
      <c r="E31" s="7">
        <f>Data!D6</f>
        <v>0</v>
      </c>
      <c r="F31" s="7">
        <f>Data!C6</f>
        <v>0</v>
      </c>
      <c r="G31" s="2">
        <f>'Assumptions for 3 Statement'!I13</f>
        <v>0</v>
      </c>
      <c r="H31" s="2">
        <f>'Assumptions for 3 Statement'!J13</f>
        <v>0</v>
      </c>
      <c r="I31" s="2">
        <f>'Assumptions for 3 Statement'!K13</f>
        <v>0</v>
      </c>
      <c r="J31" s="2">
        <f>'Assumptions for 3 Statement'!L13</f>
        <v>0</v>
      </c>
      <c r="K31" s="2">
        <f>'Assumptions for 3 Statement'!M13</f>
        <v>0</v>
      </c>
    </row>
    <row r="32" spans="1:11" x14ac:dyDescent="0.2">
      <c r="A32" t="s">
        <v>22</v>
      </c>
      <c r="B32" s="7">
        <f>Data!G7</f>
        <v>1999596.7350000001</v>
      </c>
      <c r="C32" s="7">
        <f>Data!F7</f>
        <v>2119815.66</v>
      </c>
      <c r="D32" s="7">
        <f>Data!E7</f>
        <v>2411111.949</v>
      </c>
      <c r="E32" s="7">
        <f>Data!D7</f>
        <v>2267684.449</v>
      </c>
      <c r="F32" s="7">
        <f>Data!C7</f>
        <v>4035308.6340000001</v>
      </c>
      <c r="G32" s="2">
        <f>'Assumptions for 3 Statement'!I19</f>
        <v>4438839.4974000007</v>
      </c>
      <c r="H32" s="2">
        <f>'Assumptions for 3 Statement'!J19</f>
        <v>4882723.4471400008</v>
      </c>
      <c r="I32" s="2">
        <f>'Assumptions for 3 Statement'!K19</f>
        <v>5370995.7918540016</v>
      </c>
      <c r="J32" s="2">
        <f>'Assumptions for 3 Statement'!L19</f>
        <v>5908095.3710394027</v>
      </c>
      <c r="K32" s="2">
        <f>'Assumptions for 3 Statement'!M19</f>
        <v>6498904.9081433434</v>
      </c>
    </row>
    <row r="33" spans="1:11" x14ac:dyDescent="0.2">
      <c r="A33" t="s">
        <v>23</v>
      </c>
      <c r="B33" s="7">
        <f>Data!G8</f>
        <v>2112063.9670000002</v>
      </c>
      <c r="C33" s="7">
        <f>Data!F8</f>
        <v>2338039.7620000001</v>
      </c>
      <c r="D33" s="7">
        <f>Data!E8</f>
        <v>2353854.227</v>
      </c>
      <c r="E33" s="7">
        <f>Data!D8</f>
        <v>2887121.3089999999</v>
      </c>
      <c r="F33" s="7">
        <f>Data!C8</f>
        <v>5043353.2709999997</v>
      </c>
      <c r="G33" s="2">
        <f>'Assumptions for 3 Statement'!I20</f>
        <v>5547688.5981000001</v>
      </c>
      <c r="H33" s="2">
        <f>'Assumptions for 3 Statement'!J20</f>
        <v>6102457.4579100003</v>
      </c>
      <c r="I33" s="2">
        <f>'Assumptions for 3 Statement'!K20</f>
        <v>6712703.2037010007</v>
      </c>
      <c r="J33" s="2">
        <f>'Assumptions for 3 Statement'!L20</f>
        <v>7383973.5240711011</v>
      </c>
      <c r="K33" s="2">
        <f>'Assumptions for 3 Statement'!M20</f>
        <v>8122370.876478212</v>
      </c>
    </row>
    <row r="34" spans="1:11" x14ac:dyDescent="0.2">
      <c r="A34" t="s">
        <v>24</v>
      </c>
      <c r="B34" s="7">
        <f>Data!G9</f>
        <v>19029.034</v>
      </c>
      <c r="C34" s="7">
        <f>Data!F9</f>
        <v>189162.92600000001</v>
      </c>
      <c r="D34" s="7">
        <f>Data!E9</f>
        <v>64811.811999999998</v>
      </c>
      <c r="E34" s="7">
        <f>Data!D9</f>
        <v>63263.64</v>
      </c>
      <c r="F34" s="7">
        <f>Data!C9</f>
        <v>215619.88500000001</v>
      </c>
      <c r="G34" s="2">
        <f>(1+'Assumptions for 3 Statement'!I3)*F34</f>
        <v>237181.87350000002</v>
      </c>
      <c r="H34" s="2">
        <f>(1+'Assumptions for 3 Statement'!J3)*G34</f>
        <v>260900.06085000004</v>
      </c>
      <c r="I34" s="2">
        <f>(1+'Assumptions for 3 Statement'!K3)*H34</f>
        <v>286990.06693500007</v>
      </c>
      <c r="J34" s="2">
        <f>(1+'Assumptions for 3 Statement'!L3)*I34</f>
        <v>315689.0736285001</v>
      </c>
      <c r="K34" s="2">
        <f>(1+'Assumptions for 3 Statement'!M3)*J34</f>
        <v>347257.98099135014</v>
      </c>
    </row>
    <row r="35" spans="1:11" x14ac:dyDescent="0.2">
      <c r="A35" t="s">
        <v>25</v>
      </c>
      <c r="B35" s="7">
        <f>Data!G10</f>
        <v>106809.12699999999</v>
      </c>
      <c r="C35" s="7">
        <f>Data!F10</f>
        <v>99760.618000000002</v>
      </c>
      <c r="D35" s="7">
        <f>Data!E10</f>
        <v>205974.546</v>
      </c>
      <c r="E35" s="7">
        <f>Data!D10</f>
        <v>191658.48499999999</v>
      </c>
      <c r="F35" s="7">
        <f>Data!C10</f>
        <v>142657.99900000001</v>
      </c>
      <c r="G35" s="2">
        <f>F35*(1+'Assumptions for 3 Statement'!I3)</f>
        <v>156923.79890000002</v>
      </c>
      <c r="H35" s="2">
        <f>G35*(1+'Assumptions for 3 Statement'!J3)</f>
        <v>172616.17879000003</v>
      </c>
      <c r="I35" s="2">
        <f>H35*(1+'Assumptions for 3 Statement'!K3)</f>
        <v>189877.79666900006</v>
      </c>
      <c r="J35" s="2">
        <f>I35*(1+'Assumptions for 3 Statement'!L3)</f>
        <v>208865.57633590008</v>
      </c>
      <c r="K35" s="2">
        <f>J35*(1+'Assumptions for 3 Statement'!M3)</f>
        <v>229752.13396949013</v>
      </c>
    </row>
    <row r="36" spans="1:11" x14ac:dyDescent="0.2">
      <c r="A36" t="s">
        <v>26</v>
      </c>
      <c r="B36" s="7">
        <f>Data!G11</f>
        <v>0</v>
      </c>
      <c r="C36" s="7">
        <f>Data!F11</f>
        <v>0</v>
      </c>
      <c r="D36" s="7">
        <f>Data!E11</f>
        <v>0</v>
      </c>
      <c r="E36" s="7">
        <f>Data!D11</f>
        <v>151396.07</v>
      </c>
      <c r="F36" s="7">
        <f>Data!C11</f>
        <v>72051.991999999998</v>
      </c>
      <c r="G36" s="2">
        <f>F36*(1+'Assumptions for 3 Statement'!I3)</f>
        <v>79257.191200000001</v>
      </c>
      <c r="H36" s="2">
        <f>G36*(1+'Assumptions for 3 Statement'!J3)</f>
        <v>87182.91032000001</v>
      </c>
      <c r="I36" s="2">
        <f>H36*(1+'Assumptions for 3 Statement'!K3)</f>
        <v>95901.201352000018</v>
      </c>
      <c r="J36" s="2">
        <f>I36*(1+'Assumptions for 3 Statement'!L3)</f>
        <v>105491.32148720002</v>
      </c>
      <c r="K36" s="2">
        <f>J36*(1+'Assumptions for 3 Statement'!M3)</f>
        <v>116040.45363592004</v>
      </c>
    </row>
    <row r="37" spans="1:11" x14ac:dyDescent="0.2">
      <c r="A37" t="s">
        <v>27</v>
      </c>
      <c r="B37" s="7">
        <f>Data!G12</f>
        <v>80144.311000000002</v>
      </c>
      <c r="C37" s="7">
        <f>Data!F12</f>
        <v>100218.692</v>
      </c>
      <c r="D37" s="7">
        <f>Data!E12</f>
        <v>125437.114</v>
      </c>
      <c r="E37" s="7">
        <f>Data!D12</f>
        <v>91902.434999999998</v>
      </c>
      <c r="F37" s="7">
        <f>Data!C12</f>
        <v>93183.914000000004</v>
      </c>
      <c r="G37" s="2">
        <f>F37*(1+'Assumptions for 3 Statement'!I3)</f>
        <v>102502.30540000001</v>
      </c>
      <c r="H37" s="2">
        <f>G37*(1+'Assumptions for 3 Statement'!J3)</f>
        <v>112752.53594000002</v>
      </c>
      <c r="I37" s="2">
        <f>H37*(1+'Assumptions for 3 Statement'!K3)</f>
        <v>124027.78953400003</v>
      </c>
      <c r="J37" s="2">
        <f>I37*(1+'Assumptions for 3 Statement'!L3)</f>
        <v>136430.56848740004</v>
      </c>
      <c r="K37" s="2">
        <f>J37*(1+'Assumptions for 3 Statement'!M3)</f>
        <v>150073.62533614007</v>
      </c>
    </row>
    <row r="38" spans="1:11" x14ac:dyDescent="0.2">
      <c r="A38" s="3" t="s">
        <v>28</v>
      </c>
      <c r="B38" s="4">
        <f t="shared" ref="B38:K38" si="5">SUM( B30:B37)</f>
        <v>5652256.9780000001</v>
      </c>
      <c r="C38" s="4">
        <f t="shared" si="5"/>
        <v>5716168.8329999987</v>
      </c>
      <c r="D38" s="4">
        <f t="shared" si="5"/>
        <v>6365535.5330000008</v>
      </c>
      <c r="E38" s="4">
        <f t="shared" si="5"/>
        <v>7372887.7560000019</v>
      </c>
      <c r="F38" s="4">
        <f t="shared" si="5"/>
        <v>11803583.404000005</v>
      </c>
      <c r="G38" s="4">
        <f t="shared" si="5"/>
        <v>12708166.809767487</v>
      </c>
      <c r="H38" s="4">
        <f t="shared" si="5"/>
        <v>15242096.8169802</v>
      </c>
      <c r="I38" s="4">
        <f t="shared" si="5"/>
        <v>17917606.700251773</v>
      </c>
      <c r="J38" s="4">
        <f t="shared" si="5"/>
        <v>20544409.747940764</v>
      </c>
      <c r="K38" s="4">
        <f t="shared" si="5"/>
        <v>23454388.659347363</v>
      </c>
    </row>
    <row r="39" spans="1:11" x14ac:dyDescent="0.2">
      <c r="A39" s="3" t="s">
        <v>29</v>
      </c>
      <c r="B39" s="2"/>
      <c r="C39" s="2"/>
      <c r="D39" s="2"/>
      <c r="E39" s="2"/>
      <c r="F39" s="2"/>
    </row>
    <row r="40" spans="1:11" x14ac:dyDescent="0.2">
      <c r="A40" t="s">
        <v>30</v>
      </c>
      <c r="B40" s="7">
        <f>Data!G15</f>
        <v>9069.7019999999993</v>
      </c>
      <c r="C40" s="7">
        <f>Data!F15</f>
        <v>64414.084999999999</v>
      </c>
      <c r="D40" s="7">
        <f>Data!E15</f>
        <v>9742.8690000000006</v>
      </c>
      <c r="E40" s="7">
        <f>Data!D15</f>
        <v>10910.348</v>
      </c>
      <c r="F40" s="7">
        <f>Data!C15</f>
        <v>22363.111000000001</v>
      </c>
      <c r="G40" s="2">
        <f>F40*(1+'Assumptions for 3 Statement'!I3)</f>
        <v>24599.422100000003</v>
      </c>
      <c r="H40" s="2">
        <f>G40*(1+'Assumptions for 3 Statement'!J3)</f>
        <v>27059.364310000004</v>
      </c>
      <c r="I40" s="2">
        <f>H40*(1+'Assumptions for 3 Statement'!K3)</f>
        <v>29765.300741000006</v>
      </c>
      <c r="J40" s="2">
        <f>I40*(1+'Assumptions for 3 Statement'!L3)</f>
        <v>32741.830815100009</v>
      </c>
      <c r="K40" s="2">
        <f>J40*(1+'Assumptions for 3 Statement'!M3)</f>
        <v>36016.013896610013</v>
      </c>
    </row>
    <row r="41" spans="1:11" x14ac:dyDescent="0.2">
      <c r="A41" t="s">
        <v>31</v>
      </c>
      <c r="B41" s="7">
        <f>Data!G16</f>
        <v>0</v>
      </c>
      <c r="C41" s="7">
        <f>Data!F16</f>
        <v>0</v>
      </c>
      <c r="D41" s="7">
        <f>Data!E16</f>
        <v>0</v>
      </c>
      <c r="E41" s="7">
        <f>Data!D16</f>
        <v>0</v>
      </c>
      <c r="F41" s="7">
        <f>Data!C16</f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">
      <c r="A42" t="s">
        <v>32</v>
      </c>
      <c r="B42" s="7">
        <f>Data!G17</f>
        <v>9062496.5979999993</v>
      </c>
      <c r="C42" s="7">
        <f>Data!F17</f>
        <v>9526865.5500000007</v>
      </c>
      <c r="D42" s="7">
        <f>Data!E17</f>
        <v>10706220.278999999</v>
      </c>
      <c r="E42" s="7">
        <f>Data!D17</f>
        <v>11720628.345000001</v>
      </c>
      <c r="F42" s="7">
        <f>Data!C17</f>
        <v>12904704.338</v>
      </c>
      <c r="G42" s="2">
        <f>'Assumptions for 3 Statement'!I46</f>
        <v>14500666.029916914</v>
      </c>
      <c r="H42" s="2">
        <f>'Assumptions for 3 Statement'!J46</f>
        <v>16229879.211710362</v>
      </c>
      <c r="I42" s="2">
        <f>'Assumptions for 3 Statement'!K46</f>
        <v>18107940.921038385</v>
      </c>
      <c r="J42" s="2">
        <f>'Assumptions for 3 Statement'!L46</f>
        <v>20151811.978240773</v>
      </c>
      <c r="K42" s="2">
        <f>'Assumptions for 3 Statement'!M46</f>
        <v>22379970.260272793</v>
      </c>
    </row>
    <row r="43" spans="1:11" x14ac:dyDescent="0.2">
      <c r="A43" t="s">
        <v>33</v>
      </c>
      <c r="B43" s="7">
        <f>Data!G18</f>
        <v>147657.44899999999</v>
      </c>
      <c r="C43" s="7">
        <f>Data!F18</f>
        <v>150167.723</v>
      </c>
      <c r="D43" s="7">
        <f>Data!E18</f>
        <v>76540.884999999995</v>
      </c>
      <c r="E43" s="7">
        <f>Data!D18</f>
        <v>15961.194</v>
      </c>
      <c r="F43" s="7">
        <f>Data!C18</f>
        <v>73711.077000000005</v>
      </c>
      <c r="G43" s="2">
        <f>F43*(1+'Assumptions for 3 Statement'!I3)</f>
        <v>81082.184700000013</v>
      </c>
      <c r="H43" s="2">
        <f>G43*(1+'Assumptions for 3 Statement'!J3)</f>
        <v>89190.40317000002</v>
      </c>
      <c r="I43" s="2">
        <f>H43*(1+'Assumptions for 3 Statement'!K3)</f>
        <v>98109.443487000026</v>
      </c>
      <c r="J43" s="2">
        <f>I43*(1+'Assumptions for 3 Statement'!L3)</f>
        <v>107920.38783570004</v>
      </c>
      <c r="K43" s="2">
        <f>J43*(1+'Assumptions for 3 Statement'!M3)</f>
        <v>118712.42661927005</v>
      </c>
    </row>
    <row r="44" spans="1:11" x14ac:dyDescent="0.2">
      <c r="A44" t="s">
        <v>34</v>
      </c>
      <c r="B44" s="7">
        <f>Data!G19</f>
        <v>3164.328</v>
      </c>
      <c r="C44" s="7">
        <f>Data!F19</f>
        <v>3164.328</v>
      </c>
      <c r="D44" s="7">
        <f>Data!E19</f>
        <v>3164.328</v>
      </c>
      <c r="E44" s="7">
        <f>Data!D19</f>
        <v>3164.328</v>
      </c>
      <c r="F44" s="7">
        <f>Data!C19</f>
        <v>3164.328</v>
      </c>
      <c r="G44" s="2">
        <f>'Assumptions for 3 Statement'!I15</f>
        <v>3164.328</v>
      </c>
      <c r="H44" s="2">
        <f>'Assumptions for 3 Statement'!J15</f>
        <v>3164.328</v>
      </c>
      <c r="I44" s="2">
        <f>'Assumptions for 3 Statement'!K15</f>
        <v>3164.328</v>
      </c>
      <c r="J44" s="2">
        <f>'Assumptions for 3 Statement'!L15</f>
        <v>3164.328</v>
      </c>
      <c r="K44" s="2">
        <f>'Assumptions for 3 Statement'!M15</f>
        <v>3164.328</v>
      </c>
    </row>
    <row r="45" spans="1:11" x14ac:dyDescent="0.2">
      <c r="A45" t="s">
        <v>35</v>
      </c>
      <c r="B45" s="7">
        <f>Data!G20</f>
        <v>3248.875</v>
      </c>
      <c r="C45" s="7">
        <f>Data!F20</f>
        <v>2234.3159999999998</v>
      </c>
      <c r="D45" s="7">
        <f>Data!E20</f>
        <v>1306.74</v>
      </c>
      <c r="E45" s="7">
        <f>Data!D20</f>
        <v>531.20299999999997</v>
      </c>
      <c r="F45" s="7">
        <f>Data!C20</f>
        <v>153.86699999999999</v>
      </c>
      <c r="G45" s="2">
        <f>'Assumptions for 3 Statement'!I16</f>
        <v>0</v>
      </c>
      <c r="H45" s="2">
        <f>'Assumptions for 3 Statement'!J16</f>
        <v>0</v>
      </c>
      <c r="I45" s="2">
        <f>'Assumptions for 3 Statement'!K16</f>
        <v>0</v>
      </c>
      <c r="J45" s="2">
        <f>'Assumptions for 3 Statement'!L16</f>
        <v>0</v>
      </c>
      <c r="K45" s="2">
        <f>'Assumptions for 3 Statement'!M16</f>
        <v>0</v>
      </c>
    </row>
    <row r="46" spans="1:11" x14ac:dyDescent="0.2">
      <c r="A46" t="s">
        <v>36</v>
      </c>
      <c r="B46" s="7">
        <f>Data!G21</f>
        <v>247136.90299999999</v>
      </c>
      <c r="C46" s="7">
        <f>Data!F21</f>
        <v>370657.35600000003</v>
      </c>
      <c r="D46" s="7">
        <f>Data!E21</f>
        <v>311466.30699999997</v>
      </c>
      <c r="E46" s="7">
        <f>Data!D21</f>
        <v>561672.95499999996</v>
      </c>
      <c r="F46" s="7">
        <f>Data!C21</f>
        <v>419732.45</v>
      </c>
      <c r="G46" s="2">
        <f>'Assumptions for 3 Statement'!I69</f>
        <v>635594.90210292989</v>
      </c>
      <c r="H46" s="2">
        <f>'Assumptions for 3 Statement'!J69</f>
        <v>699154.39231322298</v>
      </c>
      <c r="I46" s="2">
        <f>'Assumptions for 3 Statement'!K69</f>
        <v>769069.83154454536</v>
      </c>
      <c r="J46" s="2">
        <f>'Assumptions for 3 Statement'!L69</f>
        <v>845976.81469899998</v>
      </c>
      <c r="K46" s="2">
        <f>'Assumptions for 3 Statement'!M69</f>
        <v>930574.49616890016</v>
      </c>
    </row>
    <row r="47" spans="1:11" x14ac:dyDescent="0.2">
      <c r="A47" t="s">
        <v>37</v>
      </c>
      <c r="B47" s="7">
        <f>Data!G22</f>
        <v>0</v>
      </c>
      <c r="C47" s="7">
        <f>Data!F22</f>
        <v>0</v>
      </c>
      <c r="D47" s="7">
        <f>Data!E22</f>
        <v>0</v>
      </c>
      <c r="E47" s="7">
        <f>Data!D22</f>
        <v>245226.25399999999</v>
      </c>
      <c r="F47" s="7">
        <f>Data!C22</f>
        <v>312827.68800000002</v>
      </c>
      <c r="G47" s="2">
        <f>F47*(1+'Assumptions for 3 Statement'!I3)</f>
        <v>344110.45680000004</v>
      </c>
      <c r="H47" s="2">
        <f>G47*(1+'Assumptions for 3 Statement'!J3)</f>
        <v>378521.50248000008</v>
      </c>
      <c r="I47" s="2">
        <f>H47*(1+'Assumptions for 3 Statement'!K3)</f>
        <v>416373.65272800013</v>
      </c>
      <c r="J47" s="2">
        <f>I47*(1+'Assumptions for 3 Statement'!L3)</f>
        <v>458011.01800080016</v>
      </c>
      <c r="K47" s="2">
        <f>J47*(1+'Assumptions for 3 Statement'!M3)</f>
        <v>503812.1198008802</v>
      </c>
    </row>
    <row r="48" spans="1:11" x14ac:dyDescent="0.2">
      <c r="A48" t="s">
        <v>38</v>
      </c>
      <c r="B48" s="7">
        <f>Data!G23</f>
        <v>11464.182000000001</v>
      </c>
      <c r="C48" s="7">
        <f>Data!F23</f>
        <v>17039.699000000001</v>
      </c>
      <c r="D48" s="7">
        <f>Data!E23</f>
        <v>16110.031999999999</v>
      </c>
      <c r="E48" s="7">
        <f>Data!D23</f>
        <v>98351.955000000002</v>
      </c>
      <c r="F48" s="7">
        <f>Data!C23</f>
        <v>21641.159</v>
      </c>
      <c r="G48" s="2">
        <f>(1+'Assumptions for 3 Statement'!I3)*Model!F48</f>
        <v>23805.2749</v>
      </c>
      <c r="H48" s="2">
        <f>(1+'Assumptions for 3 Statement'!J3)*Model!G48</f>
        <v>26185.802390000001</v>
      </c>
      <c r="I48" s="2">
        <f>(1+'Assumptions for 3 Statement'!K3)*Model!H48</f>
        <v>28804.382629000003</v>
      </c>
      <c r="J48" s="2">
        <f>(1+'Assumptions for 3 Statement'!L3)*Model!I48</f>
        <v>31684.820891900006</v>
      </c>
      <c r="K48" s="2">
        <f>(1+'Assumptions for 3 Statement'!M3)*Model!J48</f>
        <v>34853.302981090012</v>
      </c>
    </row>
    <row r="49" spans="1:11" x14ac:dyDescent="0.2">
      <c r="A49" s="3" t="s">
        <v>39</v>
      </c>
      <c r="B49" s="4">
        <f t="shared" ref="B49:K49" si="6">SUM(B40:B48)</f>
        <v>9484238.0369999986</v>
      </c>
      <c r="C49" s="4">
        <f t="shared" si="6"/>
        <v>10134543.057</v>
      </c>
      <c r="D49" s="4">
        <f t="shared" si="6"/>
        <v>11124551.439999999</v>
      </c>
      <c r="E49" s="4">
        <f t="shared" si="6"/>
        <v>12656446.582</v>
      </c>
      <c r="F49" s="4">
        <f t="shared" si="6"/>
        <v>13758298.017999997</v>
      </c>
      <c r="G49" s="4">
        <f t="shared" si="6"/>
        <v>15613022.598519845</v>
      </c>
      <c r="H49" s="4">
        <f t="shared" si="6"/>
        <v>17453155.004373588</v>
      </c>
      <c r="I49" s="4">
        <f t="shared" si="6"/>
        <v>19453227.860167928</v>
      </c>
      <c r="J49" s="4">
        <f t="shared" si="6"/>
        <v>21631311.178483278</v>
      </c>
      <c r="K49" s="4">
        <f t="shared" si="6"/>
        <v>24007102.947739545</v>
      </c>
    </row>
    <row r="50" spans="1:11" x14ac:dyDescent="0.2">
      <c r="A50" s="3" t="s">
        <v>40</v>
      </c>
      <c r="B50" s="4">
        <f t="shared" ref="B50:K50" si="7">SUM(B38,B49)</f>
        <v>15136495.014999999</v>
      </c>
      <c r="C50" s="4">
        <f t="shared" si="7"/>
        <v>15850711.889999999</v>
      </c>
      <c r="D50" s="4">
        <f t="shared" si="7"/>
        <v>17490086.973000001</v>
      </c>
      <c r="E50" s="4">
        <f t="shared" si="7"/>
        <v>20029334.338000003</v>
      </c>
      <c r="F50" s="4">
        <f t="shared" si="7"/>
        <v>25561881.422000002</v>
      </c>
      <c r="G50" s="4">
        <f t="shared" si="7"/>
        <v>28321189.408287331</v>
      </c>
      <c r="H50" s="4">
        <f t="shared" si="7"/>
        <v>32695251.821353786</v>
      </c>
      <c r="I50" s="4">
        <f t="shared" si="7"/>
        <v>37370834.560419701</v>
      </c>
      <c r="J50" s="4">
        <f t="shared" si="7"/>
        <v>42175720.926424041</v>
      </c>
      <c r="K50" s="4">
        <f t="shared" si="7"/>
        <v>47461491.607086912</v>
      </c>
    </row>
    <row r="51" spans="1:11" x14ac:dyDescent="0.2">
      <c r="B51" s="2"/>
      <c r="C51" s="2"/>
      <c r="D51" s="2"/>
      <c r="E51" s="2"/>
      <c r="F51" s="2"/>
    </row>
    <row r="52" spans="1:11" x14ac:dyDescent="0.2">
      <c r="A52" s="5" t="s">
        <v>41</v>
      </c>
      <c r="B52" s="16"/>
      <c r="C52" s="16"/>
      <c r="D52" s="16"/>
      <c r="E52" s="16"/>
      <c r="F52" s="16"/>
      <c r="G52" s="5"/>
      <c r="H52" s="5"/>
      <c r="I52" s="5"/>
      <c r="J52" s="5"/>
      <c r="K52" s="5"/>
    </row>
    <row r="53" spans="1:11" x14ac:dyDescent="0.2">
      <c r="A53" s="3" t="s">
        <v>42</v>
      </c>
      <c r="B53" s="2"/>
      <c r="C53" s="2"/>
      <c r="D53" s="2"/>
      <c r="E53" s="2"/>
      <c r="F53" s="2"/>
    </row>
    <row r="54" spans="1:11" x14ac:dyDescent="0.2">
      <c r="A54" t="s">
        <v>43</v>
      </c>
      <c r="B54" s="7">
        <f>Data!G29</f>
        <v>1675843.375</v>
      </c>
      <c r="C54" s="7">
        <f>Data!F29</f>
        <v>1595521.5</v>
      </c>
      <c r="D54" s="7">
        <f>Data!E29</f>
        <v>906627.75</v>
      </c>
      <c r="E54" s="7">
        <f>Data!D29</f>
        <v>650000</v>
      </c>
      <c r="F54" s="7">
        <f>Data!C29</f>
        <v>1353000</v>
      </c>
      <c r="G54" s="2">
        <f>'Assumptions for 3 Statement'!I87</f>
        <v>184009.28391823033</v>
      </c>
      <c r="H54" s="2">
        <f>'Assumptions for 3 Statement'!J87</f>
        <v>0</v>
      </c>
      <c r="I54" s="2">
        <f>'Assumptions for 3 Statement'!K87</f>
        <v>0</v>
      </c>
      <c r="J54" s="2">
        <f>'Assumptions for 3 Statement'!L87</f>
        <v>0</v>
      </c>
      <c r="K54" s="2">
        <f>'Assumptions for 3 Statement'!M87</f>
        <v>0</v>
      </c>
    </row>
    <row r="55" spans="1:11" x14ac:dyDescent="0.2">
      <c r="A55" t="s">
        <v>44</v>
      </c>
      <c r="B55" s="7">
        <f>Data!G30</f>
        <v>1136827.111</v>
      </c>
      <c r="C55" s="7">
        <f>Data!F30</f>
        <v>1146891.727</v>
      </c>
      <c r="D55" s="7">
        <f>Data!E30</f>
        <v>1185815.051</v>
      </c>
      <c r="E55" s="7">
        <f>Data!D30</f>
        <v>1410186.774</v>
      </c>
      <c r="F55" s="7">
        <f>Data!C30</f>
        <v>2210212.139</v>
      </c>
      <c r="G55" s="2">
        <f>'Assumptions for 3 Statement'!I21</f>
        <v>2431233.3529000003</v>
      </c>
      <c r="H55" s="2">
        <f>'Assumptions for 3 Statement'!J21</f>
        <v>2674356.6881900006</v>
      </c>
      <c r="I55" s="2">
        <f>'Assumptions for 3 Statement'!K21</f>
        <v>2941792.3570090011</v>
      </c>
      <c r="J55" s="2">
        <f>'Assumptions for 3 Statement'!L21</f>
        <v>3235971.5927099013</v>
      </c>
      <c r="K55" s="2">
        <f>'Assumptions for 3 Statement'!M21</f>
        <v>3559568.7519808919</v>
      </c>
    </row>
    <row r="56" spans="1:11" x14ac:dyDescent="0.2">
      <c r="A56" t="s">
        <v>45</v>
      </c>
      <c r="B56" s="7">
        <f>Data!G31</f>
        <v>408930.33299999998</v>
      </c>
      <c r="C56" s="7">
        <f>Data!F31</f>
        <v>420638.62400000001</v>
      </c>
      <c r="D56" s="7">
        <f>Data!E31</f>
        <v>147295.114</v>
      </c>
      <c r="E56" s="7">
        <f>Data!D31</f>
        <v>252734.08499999999</v>
      </c>
      <c r="F56" s="7">
        <f>Data!C31</f>
        <v>344778.85</v>
      </c>
      <c r="G56" s="2">
        <f>'Assumptions for 3 Statement'!I63</f>
        <v>711066.80768723995</v>
      </c>
      <c r="H56" s="2">
        <f>'Assumptions for 3 Statement'!J63</f>
        <v>1120776.7302117925</v>
      </c>
      <c r="I56" s="2">
        <f>'Assumptions for 3 Statement'!K63</f>
        <v>1571457.6449888004</v>
      </c>
      <c r="J56" s="2">
        <f>'Assumptions for 3 Statement'!L63</f>
        <v>1728603.4094876808</v>
      </c>
      <c r="K56" s="2">
        <f>'Assumptions for 3 Statement'!M63</f>
        <v>1356139.8435562693</v>
      </c>
    </row>
    <row r="57" spans="1:11" x14ac:dyDescent="0.2">
      <c r="A57" t="s">
        <v>46</v>
      </c>
      <c r="B57" s="7">
        <f>Data!G32</f>
        <v>1475.6489999999999</v>
      </c>
      <c r="C57" s="7">
        <f>Data!F32</f>
        <v>0</v>
      </c>
      <c r="D57" s="7">
        <f>Data!E32</f>
        <v>0</v>
      </c>
      <c r="E57" s="7">
        <f>Data!D32</f>
        <v>5804.4740000000002</v>
      </c>
      <c r="F57" s="7">
        <f>Data!C32</f>
        <v>7890.2259999999997</v>
      </c>
      <c r="G57" s="24"/>
      <c r="H57" s="24"/>
      <c r="I57" s="24"/>
      <c r="J57" s="24"/>
      <c r="K57" s="24"/>
    </row>
    <row r="58" spans="1:11" x14ac:dyDescent="0.2">
      <c r="A58" t="s">
        <v>47</v>
      </c>
      <c r="B58" s="7">
        <f>Data!G33</f>
        <v>5238.71</v>
      </c>
      <c r="C58" s="7">
        <f>Data!F33</f>
        <v>2557.8510000000001</v>
      </c>
      <c r="D58" s="7">
        <f>Data!E33</f>
        <v>26245.268</v>
      </c>
      <c r="E58" s="7">
        <f>Data!D33</f>
        <v>82932.767000000007</v>
      </c>
      <c r="F58" s="7">
        <f>Data!C33</f>
        <v>247039.78599999999</v>
      </c>
      <c r="G58" s="2">
        <f>-'Assumptions for 3 Statement'!I33*Model!G22</f>
        <v>378245.50235874619</v>
      </c>
      <c r="H58" s="2">
        <f>-'Assumptions for 3 Statement'!J33*Model!H22</f>
        <v>416070.05259462114</v>
      </c>
      <c r="I58" s="2">
        <f>-'Assumptions for 3 Statement'!K33*Model!I22</f>
        <v>457677.05785408319</v>
      </c>
      <c r="J58" s="2">
        <f>-'Assumptions for 3 Statement'!L33*Model!J22</f>
        <v>503444.76363949146</v>
      </c>
      <c r="K58" s="2">
        <f>-'Assumptions for 3 Statement'!M33*Model!K22</f>
        <v>553789.24000344088</v>
      </c>
    </row>
    <row r="59" spans="1:11" x14ac:dyDescent="0.2">
      <c r="A59" t="s">
        <v>48</v>
      </c>
      <c r="B59" s="7">
        <f>Data!G34</f>
        <v>0</v>
      </c>
      <c r="C59" s="7">
        <f>Data!F34</f>
        <v>0</v>
      </c>
      <c r="D59" s="7">
        <f>Data!E34</f>
        <v>0</v>
      </c>
      <c r="E59" s="7">
        <f>Data!D34</f>
        <v>33615.339999999997</v>
      </c>
      <c r="F59" s="7">
        <f>Data!C34</f>
        <v>55363.639000000003</v>
      </c>
      <c r="G59" s="2">
        <f>F59*(1+'Assumptions for 3 Statement'!I3)</f>
        <v>60900.002900000007</v>
      </c>
      <c r="H59" s="2">
        <f>G59*(1+'Assumptions for 3 Statement'!J3)</f>
        <v>66990.003190000018</v>
      </c>
      <c r="I59" s="2">
        <f>H59*(1+'Assumptions for 3 Statement'!K3)</f>
        <v>73689.003509000031</v>
      </c>
      <c r="J59" s="2">
        <f>I59*(1+'Assumptions for 3 Statement'!L3)</f>
        <v>81057.903859900034</v>
      </c>
      <c r="K59" s="2">
        <f>J59*(1+'Assumptions for 3 Statement'!M3)</f>
        <v>89163.694245890045</v>
      </c>
    </row>
    <row r="60" spans="1:11" x14ac:dyDescent="0.2">
      <c r="A60" t="s">
        <v>49</v>
      </c>
      <c r="B60" s="7">
        <f>Data!G35</f>
        <v>337473.45799999998</v>
      </c>
      <c r="C60" s="7">
        <f>Data!F35</f>
        <v>440687.728</v>
      </c>
      <c r="D60" s="7">
        <f>Data!E35</f>
        <v>587713.48600000003</v>
      </c>
      <c r="E60" s="7">
        <f>Data!D35</f>
        <v>549557.55299999996</v>
      </c>
      <c r="F60" s="7">
        <f>Data!C35</f>
        <v>768459.15</v>
      </c>
      <c r="G60" s="2">
        <f>F60*(1+'Assumptions for 3 Statement'!I3)</f>
        <v>845305.06500000006</v>
      </c>
      <c r="H60" s="2">
        <f>G60*(1+'Assumptions for 3 Statement'!J3)</f>
        <v>929835.57150000019</v>
      </c>
      <c r="I60" s="2">
        <f>H60*(1+'Assumptions for 3 Statement'!K3)</f>
        <v>1022819.1286500003</v>
      </c>
      <c r="J60" s="2">
        <f>I60*(1+'Assumptions for 3 Statement'!L3)</f>
        <v>1125101.0415150004</v>
      </c>
      <c r="K60" s="2">
        <f>J60*(1+'Assumptions for 3 Statement'!M3)</f>
        <v>1237611.1456665006</v>
      </c>
    </row>
    <row r="61" spans="1:11" x14ac:dyDescent="0.2">
      <c r="A61" s="3" t="s">
        <v>50</v>
      </c>
      <c r="B61" s="4">
        <f t="shared" ref="B61:K61" si="8">SUM(B54:B60)</f>
        <v>3565788.6360000004</v>
      </c>
      <c r="C61" s="4">
        <f t="shared" si="8"/>
        <v>3606297.4299999997</v>
      </c>
      <c r="D61" s="4">
        <f t="shared" si="8"/>
        <v>2853696.6690000002</v>
      </c>
      <c r="E61" s="4">
        <f t="shared" si="8"/>
        <v>2984830.9929999998</v>
      </c>
      <c r="F61" s="4">
        <f t="shared" si="8"/>
        <v>4986743.79</v>
      </c>
      <c r="G61" s="4">
        <f t="shared" si="8"/>
        <v>4610760.0147642177</v>
      </c>
      <c r="H61" s="4">
        <f t="shared" si="8"/>
        <v>5208029.0456864145</v>
      </c>
      <c r="I61" s="4">
        <f t="shared" si="8"/>
        <v>6067435.1920108851</v>
      </c>
      <c r="J61" s="4">
        <f t="shared" si="8"/>
        <v>6674178.7112119738</v>
      </c>
      <c r="K61" s="4">
        <f t="shared" si="8"/>
        <v>6796272.6754529923</v>
      </c>
    </row>
    <row r="62" spans="1:11" x14ac:dyDescent="0.2">
      <c r="A62" s="3" t="s">
        <v>51</v>
      </c>
      <c r="B62" s="2"/>
      <c r="C62" s="2"/>
      <c r="D62" s="2"/>
      <c r="E62" s="2"/>
      <c r="F62" s="2"/>
    </row>
    <row r="63" spans="1:11" x14ac:dyDescent="0.2">
      <c r="A63" t="s">
        <v>52</v>
      </c>
      <c r="B63" s="2"/>
      <c r="C63" s="2"/>
      <c r="D63" s="2"/>
      <c r="E63" s="2"/>
      <c r="F63" s="2"/>
    </row>
    <row r="64" spans="1:11" x14ac:dyDescent="0.2">
      <c r="A64" t="s">
        <v>53</v>
      </c>
      <c r="B64" s="7">
        <f>Data!G39</f>
        <v>0</v>
      </c>
      <c r="C64" s="7">
        <f>Data!F39</f>
        <v>0</v>
      </c>
      <c r="D64" s="7">
        <f>Data!E39</f>
        <v>0</v>
      </c>
      <c r="E64" s="7">
        <f>Data!D39</f>
        <v>0</v>
      </c>
      <c r="F64" s="7">
        <f>Data!C39</f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t="s">
        <v>54</v>
      </c>
      <c r="B65" s="7"/>
      <c r="C65" s="7"/>
      <c r="D65" s="7"/>
      <c r="E65" s="7"/>
      <c r="F65" s="7"/>
    </row>
    <row r="66" spans="1:11" x14ac:dyDescent="0.2">
      <c r="A66" t="s">
        <v>53</v>
      </c>
      <c r="B66" s="7">
        <f>Data!G41</f>
        <v>1000945.204</v>
      </c>
      <c r="C66" s="7">
        <f>Data!F41</f>
        <v>594229.76100000006</v>
      </c>
      <c r="D66" s="7">
        <f>Data!E41</f>
        <v>1506019.6869999999</v>
      </c>
      <c r="E66" s="7">
        <f>Data!D41</f>
        <v>1361609.706</v>
      </c>
      <c r="F66" s="7">
        <f>Data!C41</f>
        <v>2033422.3740000001</v>
      </c>
      <c r="G66" s="2">
        <f>'Assumptions for 3 Statement'!I64</f>
        <v>2338165.2915802458</v>
      </c>
      <c r="H66" s="2">
        <f>'Assumptions for 3 Statement'!J64</f>
        <v>2707242.8250940992</v>
      </c>
      <c r="I66" s="2">
        <f>'Assumptions for 3 Statement'!K64</f>
        <v>2774624.870203509</v>
      </c>
      <c r="J66" s="2">
        <f>'Assumptions for 3 Statement'!L64</f>
        <v>2848745.11982386</v>
      </c>
      <c r="K66" s="2">
        <f>'Assumptions for 3 Statement'!M64</f>
        <v>3475601.3012864264</v>
      </c>
    </row>
    <row r="67" spans="1:11" x14ac:dyDescent="0.2">
      <c r="A67" t="s">
        <v>55</v>
      </c>
      <c r="B67" s="7">
        <f>Data!G42</f>
        <v>0</v>
      </c>
      <c r="C67" s="7">
        <f>Data!F42</f>
        <v>0</v>
      </c>
      <c r="D67" s="7">
        <f>Data!E42</f>
        <v>0</v>
      </c>
      <c r="E67" s="7">
        <f>Data!D42</f>
        <v>12551.93</v>
      </c>
      <c r="F67" s="7">
        <f>Data!C42</f>
        <v>17367.103999999999</v>
      </c>
      <c r="G67" s="24"/>
      <c r="H67" s="24"/>
      <c r="I67" s="24"/>
      <c r="J67" s="24"/>
      <c r="K67" s="24"/>
    </row>
    <row r="68" spans="1:11" x14ac:dyDescent="0.2">
      <c r="A68" t="s">
        <v>56</v>
      </c>
      <c r="B68" s="7">
        <f>Data!G43</f>
        <v>30489.313999999998</v>
      </c>
      <c r="C68" s="7">
        <f>Data!F43</f>
        <v>39995.116999999998</v>
      </c>
      <c r="D68" s="7">
        <f>Data!E43</f>
        <v>55741.733999999997</v>
      </c>
      <c r="E68" s="7">
        <f>Data!D43</f>
        <v>52821.904000000002</v>
      </c>
      <c r="F68" s="7">
        <f>Data!C43</f>
        <v>57127.858999999997</v>
      </c>
      <c r="G68" s="2">
        <f>F68*(1+'Assumptions for 3 Statement'!$B$27)</f>
        <v>64843.884972895539</v>
      </c>
      <c r="H68" s="2">
        <f>G68*(1+'Assumptions for 3 Statement'!$B$27)</f>
        <v>73602.082976330479</v>
      </c>
      <c r="I68" s="2">
        <f>H68*(1+'Assumptions for 3 Statement'!$B$27)</f>
        <v>83543.214918708691</v>
      </c>
      <c r="J68" s="2">
        <f>I68*(1+'Assumptions for 3 Statement'!$B$27)</f>
        <v>94827.054842973157</v>
      </c>
      <c r="K68" s="2">
        <f>J68*(1+'Assumptions for 3 Statement'!$B$27)</f>
        <v>107634.95681776221</v>
      </c>
    </row>
    <row r="69" spans="1:11" x14ac:dyDescent="0.2">
      <c r="A69" t="s">
        <v>57</v>
      </c>
      <c r="B69" s="7">
        <f>Data!G44</f>
        <v>0</v>
      </c>
      <c r="C69" s="7">
        <f>Data!F44</f>
        <v>0</v>
      </c>
      <c r="D69" s="7">
        <f>Data!E44</f>
        <v>152910.40700000001</v>
      </c>
      <c r="E69" s="7">
        <f>Data!D44</f>
        <v>268010.755</v>
      </c>
      <c r="F69" s="7">
        <f>Data!C44</f>
        <v>535745.13</v>
      </c>
      <c r="G69" s="2">
        <f>F69*(1+'Assumptions for 3 Statement'!I3)</f>
        <v>589319.64300000004</v>
      </c>
      <c r="H69" s="2">
        <f>G69*(1+'Assumptions for 3 Statement'!J3)</f>
        <v>648251.60730000015</v>
      </c>
      <c r="I69" s="2">
        <f>H69*(1+'Assumptions for 3 Statement'!K3)</f>
        <v>713076.76803000027</v>
      </c>
      <c r="J69" s="2">
        <f>I69*(1+'Assumptions for 3 Statement'!L3)</f>
        <v>784384.44483300031</v>
      </c>
      <c r="K69" s="2">
        <f>J69*(1+'Assumptions for 3 Statement'!M3)</f>
        <v>862822.8893163004</v>
      </c>
    </row>
    <row r="70" spans="1:11" x14ac:dyDescent="0.2">
      <c r="A70" t="s">
        <v>58</v>
      </c>
      <c r="B70" s="7">
        <f>Data!G45</f>
        <v>0</v>
      </c>
      <c r="C70" s="7">
        <f>Data!F45</f>
        <v>0</v>
      </c>
      <c r="D70" s="7">
        <f>Data!E45</f>
        <v>0</v>
      </c>
      <c r="E70" s="7">
        <f>Data!D45</f>
        <v>9809.5889999999999</v>
      </c>
      <c r="F70" s="7">
        <f>Data!C45</f>
        <v>9098.3250000000007</v>
      </c>
      <c r="G70" s="2">
        <f>F70*(1+'Assumptions for 3 Statement'!I3)</f>
        <v>10008.157500000001</v>
      </c>
      <c r="H70" s="2">
        <f>G70*(1+'Assumptions for 3 Statement'!J3)</f>
        <v>11008.973250000003</v>
      </c>
      <c r="I70" s="2">
        <f>H70*(1+'Assumptions for 3 Statement'!K3)</f>
        <v>12109.870575000004</v>
      </c>
      <c r="J70" s="2">
        <f>I70*(1+'Assumptions for 3 Statement'!L3)</f>
        <v>13320.857632500007</v>
      </c>
      <c r="K70" s="2">
        <f>J70*(1+'Assumptions for 3 Statement'!M3)</f>
        <v>14652.943395750008</v>
      </c>
    </row>
    <row r="71" spans="1:11" x14ac:dyDescent="0.2">
      <c r="A71" t="s">
        <v>59</v>
      </c>
      <c r="B71" s="7">
        <f>Data!G46</f>
        <v>0</v>
      </c>
      <c r="C71" s="7">
        <f>Data!F46</f>
        <v>0</v>
      </c>
      <c r="D71" s="7">
        <f>Data!E46</f>
        <v>0</v>
      </c>
      <c r="E71" s="7">
        <f>Data!D46</f>
        <v>559.03099999999995</v>
      </c>
      <c r="F71" s="7">
        <f>Data!C46</f>
        <v>559.03099999999995</v>
      </c>
      <c r="G71" s="2">
        <f>F71*(1+'Assumptions for 3 Statement'!I3)</f>
        <v>614.93409999999994</v>
      </c>
      <c r="H71" s="2">
        <f>G71*(1+'Assumptions for 3 Statement'!J3)</f>
        <v>676.42750999999998</v>
      </c>
      <c r="I71" s="2">
        <f>H71*(1+'Assumptions for 3 Statement'!K3)</f>
        <v>744.07026100000007</v>
      </c>
      <c r="J71" s="2">
        <f>I71*(1+'Assumptions for 3 Statement'!L3)</f>
        <v>818.47728710000013</v>
      </c>
      <c r="K71" s="2">
        <f>J71*(1+'Assumptions for 3 Statement'!M3)</f>
        <v>900.3250158100002</v>
      </c>
    </row>
    <row r="72" spans="1:11" x14ac:dyDescent="0.2">
      <c r="A72" s="3" t="s">
        <v>60</v>
      </c>
      <c r="B72" s="4">
        <f t="shared" ref="B72:K72" si="9">SUM(B64:B71)</f>
        <v>1031434.518</v>
      </c>
      <c r="C72" s="4">
        <f t="shared" si="9"/>
        <v>634224.87800000003</v>
      </c>
      <c r="D72" s="4">
        <f t="shared" si="9"/>
        <v>1714671.8279999997</v>
      </c>
      <c r="E72" s="4">
        <f t="shared" si="9"/>
        <v>1705362.9149999998</v>
      </c>
      <c r="F72" s="4">
        <f t="shared" si="9"/>
        <v>2653319.8230000003</v>
      </c>
      <c r="G72" s="4">
        <f t="shared" si="9"/>
        <v>3002951.9111531419</v>
      </c>
      <c r="H72" s="4">
        <f t="shared" si="9"/>
        <v>3440781.9161304296</v>
      </c>
      <c r="I72" s="4">
        <f t="shared" si="9"/>
        <v>3584098.7939882185</v>
      </c>
      <c r="J72" s="4">
        <f t="shared" si="9"/>
        <v>3742095.9544194336</v>
      </c>
      <c r="K72" s="4">
        <f t="shared" si="9"/>
        <v>4461612.4158320483</v>
      </c>
    </row>
    <row r="73" spans="1:11" x14ac:dyDescent="0.2">
      <c r="A73" s="3" t="s">
        <v>61</v>
      </c>
      <c r="B73" s="4">
        <f t="shared" ref="B73:K73" si="10">SUM(B72,B61)</f>
        <v>4597223.1540000001</v>
      </c>
      <c r="C73" s="4">
        <f t="shared" si="10"/>
        <v>4240522.3080000002</v>
      </c>
      <c r="D73" s="4">
        <f t="shared" si="10"/>
        <v>4568368.4969999995</v>
      </c>
      <c r="E73" s="4">
        <f t="shared" si="10"/>
        <v>4690193.9079999998</v>
      </c>
      <c r="F73" s="4">
        <f t="shared" si="10"/>
        <v>7640063.6129999999</v>
      </c>
      <c r="G73" s="4">
        <f t="shared" si="10"/>
        <v>7613711.9259173591</v>
      </c>
      <c r="H73" s="4">
        <f t="shared" si="10"/>
        <v>8648810.9618168436</v>
      </c>
      <c r="I73" s="4">
        <f t="shared" si="10"/>
        <v>9651533.9859991036</v>
      </c>
      <c r="J73" s="4">
        <f t="shared" si="10"/>
        <v>10416274.665631408</v>
      </c>
      <c r="K73" s="4">
        <f t="shared" si="10"/>
        <v>11257885.091285041</v>
      </c>
    </row>
    <row r="74" spans="1:11" x14ac:dyDescent="0.2">
      <c r="B74" s="2"/>
      <c r="C74" s="2"/>
      <c r="D74" s="2"/>
      <c r="E74" s="2"/>
      <c r="F74" s="2"/>
    </row>
    <row r="75" spans="1:11" x14ac:dyDescent="0.2">
      <c r="A75" s="5" t="s">
        <v>62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t="s">
        <v>63</v>
      </c>
      <c r="B76" s="2"/>
      <c r="C76" s="2"/>
      <c r="D76" s="2"/>
      <c r="E76" s="2"/>
      <c r="F76" s="2"/>
    </row>
    <row r="77" spans="1:11" x14ac:dyDescent="0.2">
      <c r="A77" t="s">
        <v>64</v>
      </c>
      <c r="B77" s="2"/>
      <c r="C77" s="2"/>
      <c r="D77" s="2"/>
      <c r="E77" s="2"/>
      <c r="F77" s="2"/>
    </row>
    <row r="78" spans="1:11" x14ac:dyDescent="0.2">
      <c r="A78" t="s">
        <v>65</v>
      </c>
      <c r="B78" s="7">
        <f>Data!G53</f>
        <v>900000</v>
      </c>
      <c r="C78" s="7">
        <f>Data!F53</f>
        <v>900000</v>
      </c>
      <c r="D78" s="7">
        <f>Data!E53</f>
        <v>900000</v>
      </c>
      <c r="E78" s="7">
        <f>Data!D53</f>
        <v>900000</v>
      </c>
      <c r="F78" s="7">
        <f>Data!C53</f>
        <v>900000</v>
      </c>
      <c r="G78" s="2">
        <f>F78</f>
        <v>900000</v>
      </c>
      <c r="H78" s="2">
        <f>G78</f>
        <v>900000</v>
      </c>
      <c r="I78" s="2">
        <f>H78</f>
        <v>900000</v>
      </c>
      <c r="J78" s="2">
        <f>I78</f>
        <v>900000</v>
      </c>
      <c r="K78" s="2">
        <f>J78</f>
        <v>900000</v>
      </c>
    </row>
    <row r="79" spans="1:11" x14ac:dyDescent="0.2">
      <c r="A79" t="s">
        <v>66</v>
      </c>
      <c r="B79" s="7"/>
      <c r="C79" s="7"/>
      <c r="D79" s="7"/>
      <c r="E79" s="7"/>
      <c r="F79" s="7"/>
    </row>
    <row r="80" spans="1:11" x14ac:dyDescent="0.2">
      <c r="A80" t="s">
        <v>65</v>
      </c>
      <c r="B80" s="7">
        <f>Data!G55</f>
        <v>900000</v>
      </c>
      <c r="C80" s="7">
        <f>Data!F55</f>
        <v>900000</v>
      </c>
      <c r="D80" s="7">
        <f>Data!E55</f>
        <v>900000</v>
      </c>
      <c r="E80" s="7">
        <f>Data!D55</f>
        <v>900000</v>
      </c>
      <c r="F80" s="7">
        <f>Data!C55</f>
        <v>900000</v>
      </c>
      <c r="G80" s="2">
        <f t="shared" ref="G80:K81" si="11">F80</f>
        <v>900000</v>
      </c>
      <c r="H80" s="2">
        <f t="shared" si="11"/>
        <v>900000</v>
      </c>
      <c r="I80" s="2">
        <f t="shared" si="11"/>
        <v>900000</v>
      </c>
      <c r="J80" s="2">
        <f t="shared" si="11"/>
        <v>900000</v>
      </c>
      <c r="K80" s="2">
        <f t="shared" si="11"/>
        <v>900000</v>
      </c>
    </row>
    <row r="81" spans="1:17" x14ac:dyDescent="0.2">
      <c r="A81" t="s">
        <v>67</v>
      </c>
      <c r="B81" s="7">
        <f>Data!G56</f>
        <v>1908449.6780000001</v>
      </c>
      <c r="C81" s="7">
        <f>Data!F56</f>
        <v>1908449.6780000001</v>
      </c>
      <c r="D81" s="7">
        <f>Data!E56</f>
        <v>1908449.6780000001</v>
      </c>
      <c r="E81" s="7">
        <f>Data!D56</f>
        <v>1908449.6780000001</v>
      </c>
      <c r="F81" s="7">
        <f>Data!C56</f>
        <v>1908449.6780000001</v>
      </c>
      <c r="G81" s="2">
        <f t="shared" si="11"/>
        <v>1908449.6780000001</v>
      </c>
      <c r="H81" s="2">
        <f t="shared" si="11"/>
        <v>1908449.6780000001</v>
      </c>
      <c r="I81" s="2">
        <f t="shared" si="11"/>
        <v>1908449.6780000001</v>
      </c>
      <c r="J81" s="2">
        <f t="shared" si="11"/>
        <v>1908449.6780000001</v>
      </c>
      <c r="K81" s="2">
        <f t="shared" si="11"/>
        <v>1908449.6780000001</v>
      </c>
    </row>
    <row r="82" spans="1:17" x14ac:dyDescent="0.2">
      <c r="A82" t="s">
        <v>68</v>
      </c>
      <c r="B82" s="7"/>
      <c r="C82" s="7"/>
      <c r="D82" s="7"/>
      <c r="E82" s="7"/>
      <c r="F82" s="7"/>
    </row>
    <row r="83" spans="1:17" x14ac:dyDescent="0.2">
      <c r="A83" t="s">
        <v>69</v>
      </c>
      <c r="B83" s="7">
        <f>Data!G58</f>
        <v>96000</v>
      </c>
      <c r="C83" s="7">
        <f>Data!F58</f>
        <v>96000</v>
      </c>
      <c r="D83" s="7">
        <f>Data!E58</f>
        <v>96000</v>
      </c>
      <c r="E83" s="7">
        <f>Data!D58</f>
        <v>96000</v>
      </c>
      <c r="F83" s="7">
        <f>Data!C58</f>
        <v>96000</v>
      </c>
      <c r="G83" s="2">
        <f>F83</f>
        <v>96000</v>
      </c>
      <c r="H83" s="2">
        <f>G83</f>
        <v>96000</v>
      </c>
      <c r="I83" s="2">
        <f>H83</f>
        <v>96000</v>
      </c>
      <c r="J83" s="2">
        <f>I83</f>
        <v>96000</v>
      </c>
      <c r="K83" s="2">
        <f>J83</f>
        <v>96000</v>
      </c>
    </row>
    <row r="84" spans="1:17" x14ac:dyDescent="0.2">
      <c r="A84" t="s">
        <v>70</v>
      </c>
      <c r="B84" s="7">
        <f>Data!G59</f>
        <v>8310195.4299999997</v>
      </c>
      <c r="C84" s="7">
        <f>Data!F59</f>
        <v>10012304.361</v>
      </c>
      <c r="D84" s="7">
        <f>Data!E59</f>
        <v>11190252.252</v>
      </c>
      <c r="E84" s="7">
        <f>Data!D59</f>
        <v>13415694.574999999</v>
      </c>
      <c r="F84" s="7">
        <f>Data!C59</f>
        <v>15682898.502</v>
      </c>
      <c r="G84" s="2">
        <f>'Assumptions for 3 Statement'!I77-G83</f>
        <v>18708862.52086997</v>
      </c>
      <c r="H84" s="2">
        <f>'Assumptions for 3 Statement'!J77-H83</f>
        <v>22037422.94162694</v>
      </c>
      <c r="I84" s="2">
        <f>'Assumptions for 3 Statement'!K77-I83</f>
        <v>25698839.404459607</v>
      </c>
      <c r="J84" s="2">
        <f>'Assumptions for 3 Statement'!L77-J83</f>
        <v>29726397.513575539</v>
      </c>
      <c r="K84" s="2">
        <f>'Assumptions for 3 Statement'!M77-K83</f>
        <v>34156711.433603063</v>
      </c>
    </row>
    <row r="85" spans="1:17" x14ac:dyDescent="0.2">
      <c r="A85" t="s">
        <v>71</v>
      </c>
      <c r="B85" s="7">
        <f>Data!G60</f>
        <v>-700603.08700000006</v>
      </c>
      <c r="C85" s="7">
        <f>Data!F60</f>
        <v>-1338186.2350000001</v>
      </c>
      <c r="D85" s="7">
        <f>Data!E60</f>
        <v>-1207430.2620000001</v>
      </c>
      <c r="E85" s="7">
        <f>Data!D60</f>
        <v>-1042999.117</v>
      </c>
      <c r="F85" s="7">
        <f>Data!C60</f>
        <v>-760102.70200000005</v>
      </c>
      <c r="G85" s="2">
        <f>'Assumptions for 3 Statement'!I28</f>
        <v>-1009864.2806000002</v>
      </c>
      <c r="H85" s="2">
        <f>'Assumptions for 3 Statement'!J28</f>
        <v>-1009864.2806000002</v>
      </c>
      <c r="I85" s="2">
        <f>'Assumptions for 3 Statement'!K28</f>
        <v>-1009864.2806000002</v>
      </c>
      <c r="J85" s="2">
        <f>'Assumptions for 3 Statement'!L28</f>
        <v>-1009864.2806000002</v>
      </c>
      <c r="K85" s="2">
        <f>'Assumptions for 3 Statement'!M28</f>
        <v>-1009864.2806000002</v>
      </c>
    </row>
    <row r="86" spans="1:17" x14ac:dyDescent="0.2">
      <c r="A86" t="s">
        <v>72</v>
      </c>
      <c r="B86" s="4">
        <f t="shared" ref="B86:K86" si="12">SUM(B80:B85)</f>
        <v>10514042.021</v>
      </c>
      <c r="C86" s="4">
        <f t="shared" si="12"/>
        <v>11578567.804000001</v>
      </c>
      <c r="D86" s="4">
        <f t="shared" si="12"/>
        <v>12887271.668</v>
      </c>
      <c r="E86" s="4">
        <f t="shared" si="12"/>
        <v>15277145.135999998</v>
      </c>
      <c r="F86" s="4">
        <f t="shared" si="12"/>
        <v>17827245.478</v>
      </c>
      <c r="G86" s="4">
        <f t="shared" si="12"/>
        <v>20603447.91826997</v>
      </c>
      <c r="H86" s="4">
        <f t="shared" si="12"/>
        <v>23932008.339026939</v>
      </c>
      <c r="I86" s="4">
        <f t="shared" si="12"/>
        <v>27593424.801859606</v>
      </c>
      <c r="J86" s="4">
        <f t="shared" si="12"/>
        <v>31620982.910975538</v>
      </c>
      <c r="K86" s="4">
        <f t="shared" si="12"/>
        <v>36051296.83100307</v>
      </c>
    </row>
    <row r="87" spans="1:17" x14ac:dyDescent="0.2">
      <c r="A87" t="s">
        <v>73</v>
      </c>
      <c r="B87" s="7">
        <f>Data!G62</f>
        <v>25229.84</v>
      </c>
      <c r="C87" s="7">
        <f>Data!F62</f>
        <v>31621.777999999998</v>
      </c>
      <c r="D87" s="7">
        <f>Data!E62</f>
        <v>34446.807999999997</v>
      </c>
      <c r="E87" s="7">
        <f>Data!D62</f>
        <v>61995.294000000002</v>
      </c>
      <c r="F87" s="7">
        <f>Data!C62</f>
        <v>94572.331000000006</v>
      </c>
      <c r="G87" s="2">
        <f>'Assumptions for 3 Statement'!I35</f>
        <v>104029.56410000002</v>
      </c>
      <c r="H87" s="2">
        <f>'Assumptions for 3 Statement'!J35</f>
        <v>114432.52051000003</v>
      </c>
      <c r="I87" s="2">
        <f>'Assumptions for 3 Statement'!K35</f>
        <v>125875.77256100005</v>
      </c>
      <c r="J87" s="2">
        <f>'Assumptions for 3 Statement'!L35</f>
        <v>138463.34981710007</v>
      </c>
      <c r="K87" s="2">
        <f>'Assumptions for 3 Statement'!M35</f>
        <v>152309.68479881008</v>
      </c>
    </row>
    <row r="88" spans="1:17" x14ac:dyDescent="0.2">
      <c r="A88" s="3" t="s">
        <v>74</v>
      </c>
      <c r="B88" s="4">
        <f t="shared" ref="B88:K88" si="13">SUM(B86:B87)</f>
        <v>10539271.861</v>
      </c>
      <c r="C88" s="4">
        <f t="shared" si="13"/>
        <v>11610189.582000002</v>
      </c>
      <c r="D88" s="4">
        <f t="shared" si="13"/>
        <v>12921718.476</v>
      </c>
      <c r="E88" s="4">
        <f t="shared" si="13"/>
        <v>15339140.429999998</v>
      </c>
      <c r="F88" s="4">
        <f t="shared" si="13"/>
        <v>17921817.809</v>
      </c>
      <c r="G88" s="4">
        <f t="shared" si="13"/>
        <v>20707477.482369971</v>
      </c>
      <c r="H88" s="4">
        <f t="shared" si="13"/>
        <v>24046440.859536938</v>
      </c>
      <c r="I88" s="4">
        <f t="shared" si="13"/>
        <v>27719300.574420605</v>
      </c>
      <c r="J88" s="4">
        <f t="shared" si="13"/>
        <v>31759446.260792639</v>
      </c>
      <c r="K88" s="4">
        <f t="shared" si="13"/>
        <v>36203606.515801877</v>
      </c>
    </row>
    <row r="89" spans="1:17" x14ac:dyDescent="0.2">
      <c r="A89" s="3" t="s">
        <v>75</v>
      </c>
      <c r="B89" s="4">
        <f t="shared" ref="B89:K89" si="14">SUM(B88,B73)</f>
        <v>15136495.015000001</v>
      </c>
      <c r="C89" s="4">
        <f t="shared" si="14"/>
        <v>15850711.890000002</v>
      </c>
      <c r="D89" s="4">
        <f t="shared" si="14"/>
        <v>17490086.972999997</v>
      </c>
      <c r="E89" s="4">
        <f t="shared" si="14"/>
        <v>20029334.338</v>
      </c>
      <c r="F89" s="4">
        <f t="shared" si="14"/>
        <v>25561881.421999998</v>
      </c>
      <c r="G89" s="4">
        <f t="shared" si="14"/>
        <v>28321189.408287331</v>
      </c>
      <c r="H89" s="4">
        <f t="shared" si="14"/>
        <v>32695251.821353782</v>
      </c>
      <c r="I89" s="4">
        <f t="shared" si="14"/>
        <v>37370834.560419708</v>
      </c>
      <c r="J89" s="4">
        <f t="shared" si="14"/>
        <v>42175720.926424049</v>
      </c>
      <c r="K89" s="4">
        <f t="shared" si="14"/>
        <v>47461491.607086919</v>
      </c>
    </row>
    <row r="90" spans="1:17" x14ac:dyDescent="0.2">
      <c r="B90" s="2"/>
      <c r="C90" s="2"/>
      <c r="D90" s="2"/>
      <c r="E90" s="2"/>
      <c r="F90" s="2"/>
    </row>
    <row r="91" spans="1:17" x14ac:dyDescent="0.2">
      <c r="A91" t="s">
        <v>76</v>
      </c>
      <c r="B91" s="2">
        <f t="shared" ref="B91:K91" si="15">B50-B89</f>
        <v>0</v>
      </c>
      <c r="C91" s="2">
        <f t="shared" si="15"/>
        <v>0</v>
      </c>
      <c r="D91" s="2">
        <f t="shared" si="15"/>
        <v>0</v>
      </c>
      <c r="E91" s="2">
        <f t="shared" si="15"/>
        <v>0</v>
      </c>
      <c r="F91" s="2">
        <f t="shared" si="15"/>
        <v>0</v>
      </c>
      <c r="G91" s="2">
        <f>G50-G89</f>
        <v>0</v>
      </c>
      <c r="H91" s="2">
        <f t="shared" si="15"/>
        <v>0</v>
      </c>
      <c r="I91" s="2">
        <f t="shared" si="15"/>
        <v>0</v>
      </c>
      <c r="J91" s="2">
        <f t="shared" si="15"/>
        <v>0</v>
      </c>
      <c r="K91" s="2">
        <f t="shared" si="15"/>
        <v>0</v>
      </c>
    </row>
    <row r="92" spans="1:17" x14ac:dyDescent="0.2">
      <c r="B92" s="2"/>
      <c r="C92" s="2"/>
      <c r="D92" s="2"/>
      <c r="E92" s="2"/>
      <c r="F92" s="2"/>
    </row>
    <row r="93" spans="1:17" x14ac:dyDescent="0.2">
      <c r="B93" s="2"/>
      <c r="C93" s="2"/>
      <c r="D93" s="2"/>
      <c r="E93" s="2"/>
      <c r="F93" s="2"/>
    </row>
    <row r="94" spans="1:17" x14ac:dyDescent="0.2">
      <c r="B94" s="2"/>
      <c r="C94" s="2"/>
      <c r="D94" s="2"/>
      <c r="E94" s="2"/>
      <c r="F94" s="2"/>
    </row>
    <row r="95" spans="1:17" x14ac:dyDescent="0.2">
      <c r="A95" s="5" t="s">
        <v>77</v>
      </c>
      <c r="B95" s="5"/>
      <c r="C95" s="5"/>
      <c r="D95" s="5"/>
      <c r="E95" s="5"/>
      <c r="F95" s="5"/>
      <c r="G95" s="5">
        <v>2020</v>
      </c>
      <c r="H95" s="5"/>
      <c r="I95" s="5"/>
      <c r="J95" s="5"/>
      <c r="K95" s="5"/>
    </row>
    <row r="96" spans="1:17" x14ac:dyDescent="0.2">
      <c r="A96" s="3" t="s">
        <v>266</v>
      </c>
      <c r="B96" s="2">
        <f>B22+B25</f>
        <v>1300078.8859999997</v>
      </c>
      <c r="C96" s="2">
        <f t="shared" ref="C96:K96" si="16">C22+C25</f>
        <v>2444614.5589999994</v>
      </c>
      <c r="D96" s="2">
        <f t="shared" si="16"/>
        <v>1862482.3410000012</v>
      </c>
      <c r="E96" s="2">
        <f t="shared" si="16"/>
        <v>3010471.6730000013</v>
      </c>
      <c r="F96" s="2">
        <f t="shared" si="16"/>
        <v>3607687.3640000029</v>
      </c>
      <c r="G96" s="2">
        <f>G22+G25</f>
        <v>3025964.0188699691</v>
      </c>
      <c r="H96" s="2">
        <f t="shared" si="16"/>
        <v>3328560.4207569687</v>
      </c>
      <c r="I96" s="2">
        <f t="shared" si="16"/>
        <v>3661416.4628326655</v>
      </c>
      <c r="J96" s="2">
        <f t="shared" si="16"/>
        <v>4027558.1091159312</v>
      </c>
      <c r="K96" s="2">
        <f t="shared" si="16"/>
        <v>4430313.920027527</v>
      </c>
      <c r="N96" s="3"/>
      <c r="O96" s="2"/>
      <c r="P96" s="2"/>
      <c r="Q96" s="2"/>
    </row>
    <row r="97" spans="1:17" x14ac:dyDescent="0.2">
      <c r="A97" t="s">
        <v>231</v>
      </c>
      <c r="B97" s="7">
        <v>753756</v>
      </c>
      <c r="C97" s="7">
        <v>756081.41799999995</v>
      </c>
      <c r="D97" s="7">
        <v>862892.94400000002</v>
      </c>
      <c r="E97" s="7">
        <v>929914.04799999995</v>
      </c>
      <c r="F97" s="7">
        <v>985548.1</v>
      </c>
      <c r="G97" s="2">
        <f>'Assumptions for 3 Statement'!I42</f>
        <v>1112864.2421297131</v>
      </c>
      <c r="H97" s="2">
        <f>'Assumptions for 3 Statement'!J42</f>
        <v>1250495.345657842</v>
      </c>
      <c r="I97" s="2">
        <f>'Assumptions for 3 Statement'!K42</f>
        <v>1399617.6708683954</v>
      </c>
      <c r="J97" s="2">
        <f>'Assumptions for 3 Statement'!L42</f>
        <v>1561576.2610136757</v>
      </c>
      <c r="K97" s="2">
        <f>'Assumptions for 3 Statement'!M42</f>
        <v>1737833.7680056498</v>
      </c>
      <c r="O97" s="2"/>
      <c r="P97" s="2"/>
      <c r="Q97" s="2"/>
    </row>
    <row r="98" spans="1:17" x14ac:dyDescent="0.2">
      <c r="A98" t="s">
        <v>232</v>
      </c>
      <c r="G98" s="2">
        <f>F45-G45</f>
        <v>153.86699999999999</v>
      </c>
      <c r="H98" s="2">
        <f>G45-H45</f>
        <v>0</v>
      </c>
      <c r="I98" s="2">
        <f>H45-I45</f>
        <v>0</v>
      </c>
      <c r="J98" s="2">
        <f>I45-J45</f>
        <v>0</v>
      </c>
      <c r="K98" s="2">
        <f>J45-K45</f>
        <v>0</v>
      </c>
      <c r="O98" s="2"/>
      <c r="P98" s="2"/>
      <c r="Q98" s="2"/>
    </row>
    <row r="99" spans="1:17" x14ac:dyDescent="0.2">
      <c r="A99" s="3" t="s">
        <v>234</v>
      </c>
      <c r="B99" s="7"/>
      <c r="C99" s="7"/>
      <c r="D99" s="7"/>
      <c r="E99" s="7"/>
      <c r="F99" s="7"/>
      <c r="N99" s="3"/>
      <c r="O99" s="2"/>
      <c r="P99" s="2"/>
      <c r="Q99" s="2"/>
    </row>
    <row r="100" spans="1:17" x14ac:dyDescent="0.2">
      <c r="A100" s="8" t="str">
        <f>"Decrease (Increase) in " &amp; A32</f>
        <v>Decrease (Increase) in Trade and other receivables</v>
      </c>
      <c r="B100" s="2"/>
      <c r="C100" s="2"/>
      <c r="D100" s="2"/>
      <c r="E100" s="2"/>
      <c r="F100" s="2"/>
      <c r="G100" s="2">
        <f t="shared" ref="G100:K103" si="17">F32-G32</f>
        <v>-403530.86340000061</v>
      </c>
      <c r="H100" s="2">
        <f t="shared" si="17"/>
        <v>-443883.94974000007</v>
      </c>
      <c r="I100" s="2">
        <f t="shared" si="17"/>
        <v>-488272.34471400082</v>
      </c>
      <c r="J100" s="2">
        <f t="shared" si="17"/>
        <v>-537099.57918540109</v>
      </c>
      <c r="K100" s="2">
        <f t="shared" si="17"/>
        <v>-590809.53710394073</v>
      </c>
      <c r="N100" s="8"/>
      <c r="O100" s="2"/>
      <c r="P100" s="2"/>
      <c r="Q100" s="2"/>
    </row>
    <row r="101" spans="1:17" x14ac:dyDescent="0.2">
      <c r="A101" s="8" t="str">
        <f>"Decrease (Increase) in " &amp; A33</f>
        <v>Decrease (Increase) in Inventories</v>
      </c>
      <c r="B101" s="2"/>
      <c r="C101" s="2"/>
      <c r="D101" s="2"/>
      <c r="E101" s="2"/>
      <c r="F101" s="2"/>
      <c r="G101" s="2">
        <f>F33-G33</f>
        <v>-504335.32710000034</v>
      </c>
      <c r="H101" s="2">
        <f t="shared" si="17"/>
        <v>-554768.85981000029</v>
      </c>
      <c r="I101" s="2">
        <f t="shared" si="17"/>
        <v>-610245.74579100031</v>
      </c>
      <c r="J101" s="2">
        <f t="shared" si="17"/>
        <v>-671270.32037010044</v>
      </c>
      <c r="K101" s="2">
        <f t="shared" si="17"/>
        <v>-738397.35240711085</v>
      </c>
      <c r="N101" s="8"/>
      <c r="O101" s="2"/>
      <c r="P101" s="2"/>
      <c r="Q101" s="2"/>
    </row>
    <row r="102" spans="1:17" x14ac:dyDescent="0.2">
      <c r="A102" s="8" t="str">
        <f>"Decrease (Increase) in " &amp; A34</f>
        <v>Decrease (Increase) in Advance payments for purchases of goods</v>
      </c>
      <c r="B102" s="2"/>
      <c r="C102" s="2"/>
      <c r="D102" s="2"/>
      <c r="E102" s="2"/>
      <c r="F102" s="2"/>
      <c r="G102" s="2">
        <f t="shared" si="17"/>
        <v>-21561.988500000007</v>
      </c>
      <c r="H102" s="2">
        <f t="shared" si="17"/>
        <v>-23718.187350000022</v>
      </c>
      <c r="I102" s="2">
        <f t="shared" si="17"/>
        <v>-26090.00608500003</v>
      </c>
      <c r="J102" s="2">
        <f t="shared" si="17"/>
        <v>-28699.006693500036</v>
      </c>
      <c r="K102" s="2">
        <f t="shared" si="17"/>
        <v>-31568.907362850034</v>
      </c>
      <c r="N102" s="8"/>
      <c r="O102" s="2"/>
      <c r="P102" s="2"/>
      <c r="Q102" s="2"/>
    </row>
    <row r="103" spans="1:17" x14ac:dyDescent="0.2">
      <c r="A103" s="8" t="str">
        <f>"Decrease (Increase) in " &amp; A35</f>
        <v>Decrease (Increase) in Input tax refundable</v>
      </c>
      <c r="B103" s="2"/>
      <c r="C103" s="2"/>
      <c r="D103" s="2"/>
      <c r="E103" s="2"/>
      <c r="F103" s="2"/>
      <c r="G103" s="2">
        <f t="shared" si="17"/>
        <v>-14265.799900000013</v>
      </c>
      <c r="H103" s="2">
        <f t="shared" si="17"/>
        <v>-15692.379890000011</v>
      </c>
      <c r="I103" s="2">
        <f t="shared" si="17"/>
        <v>-17261.617879000027</v>
      </c>
      <c r="J103" s="2">
        <f t="shared" si="17"/>
        <v>-18987.779666900024</v>
      </c>
      <c r="K103" s="2">
        <f t="shared" si="17"/>
        <v>-20886.55763359004</v>
      </c>
      <c r="N103" s="8"/>
      <c r="O103" s="2"/>
      <c r="P103" s="2"/>
      <c r="Q103" s="2"/>
    </row>
    <row r="104" spans="1:17" x14ac:dyDescent="0.2">
      <c r="A104" s="8" t="str">
        <f>"Decrease (Increase) in " &amp; A37</f>
        <v>Decrease (Increase) in Other current assets</v>
      </c>
      <c r="B104" s="2"/>
      <c r="C104" s="2"/>
      <c r="D104" s="2"/>
      <c r="E104" s="2"/>
      <c r="F104" s="2"/>
      <c r="G104" s="2">
        <f>F37-G37</f>
        <v>-9318.3914000000077</v>
      </c>
      <c r="H104" s="2">
        <f>G37-H37</f>
        <v>-10250.230540000004</v>
      </c>
      <c r="I104" s="2">
        <f>H37-I37</f>
        <v>-11275.253594000009</v>
      </c>
      <c r="J104" s="2">
        <f>I37-J37</f>
        <v>-12402.778953400019</v>
      </c>
      <c r="K104" s="2">
        <f>J37-K37</f>
        <v>-13643.056848740031</v>
      </c>
      <c r="N104" s="8"/>
      <c r="O104" s="2"/>
      <c r="P104" s="2"/>
      <c r="Q104" s="2"/>
    </row>
    <row r="105" spans="1:17" x14ac:dyDescent="0.2">
      <c r="A105" s="8" t="str">
        <f>"Decrease (Increase) in " &amp; A40</f>
        <v>Decrease (Increase) in Restricted bank deposits</v>
      </c>
      <c r="B105" s="2"/>
      <c r="C105" s="2"/>
      <c r="D105" s="2"/>
      <c r="E105" s="2"/>
      <c r="F105" s="2"/>
      <c r="G105" s="2">
        <f>F40-G40</f>
        <v>-2236.3111000000026</v>
      </c>
      <c r="H105" s="2">
        <f>G40-H40</f>
        <v>-2459.9422100000011</v>
      </c>
      <c r="I105" s="2">
        <f>H40-I40</f>
        <v>-2705.9364310000019</v>
      </c>
      <c r="J105" s="2">
        <f>I40-J40</f>
        <v>-2976.5300741000028</v>
      </c>
      <c r="K105" s="2">
        <f>J40-K40</f>
        <v>-3274.1830815100038</v>
      </c>
      <c r="N105" s="8"/>
      <c r="O105" s="2"/>
      <c r="P105" s="2"/>
      <c r="Q105" s="2"/>
    </row>
    <row r="106" spans="1:17" x14ac:dyDescent="0.2">
      <c r="A106" s="8" t="str">
        <f>"Decrease (Increase) in " &amp; A43</f>
        <v>Decrease (Increase) in Deferred tax assets</v>
      </c>
      <c r="B106" s="2"/>
      <c r="C106" s="2"/>
      <c r="D106" s="2"/>
      <c r="E106" s="2"/>
      <c r="F106" s="2"/>
      <c r="G106" s="2">
        <f>F43-G43</f>
        <v>-7371.1077000000078</v>
      </c>
      <c r="H106" s="2">
        <f>G43-H43</f>
        <v>-8108.2184700000071</v>
      </c>
      <c r="I106" s="2">
        <f>H43-I43</f>
        <v>-8919.0403170000063</v>
      </c>
      <c r="J106" s="2">
        <f>I43-J43</f>
        <v>-9810.9443487000099</v>
      </c>
      <c r="K106" s="2">
        <f>J43-K43</f>
        <v>-10792.038783570009</v>
      </c>
      <c r="N106" s="8"/>
      <c r="O106" s="2"/>
      <c r="P106" s="2"/>
      <c r="Q106" s="2"/>
    </row>
    <row r="107" spans="1:17" x14ac:dyDescent="0.2">
      <c r="A107" s="8" t="str">
        <f>"Decrease (Increase) in " &amp; A48</f>
        <v>Decrease (Increase) in Other non-current assets</v>
      </c>
      <c r="B107" s="2"/>
      <c r="C107" s="2"/>
      <c r="D107" s="2"/>
      <c r="E107" s="2"/>
      <c r="F107" s="2"/>
      <c r="G107" s="2">
        <f>F48-G48</f>
        <v>-2164.1159000000007</v>
      </c>
      <c r="H107" s="2">
        <f>G48-H48</f>
        <v>-2380.5274900000004</v>
      </c>
      <c r="I107" s="2">
        <f>H48-I48</f>
        <v>-2618.5802390000026</v>
      </c>
      <c r="J107" s="2">
        <f>I48-J48</f>
        <v>-2880.4382629000029</v>
      </c>
      <c r="K107" s="2">
        <f>J48-K48</f>
        <v>-3168.4820891900054</v>
      </c>
      <c r="N107" s="8"/>
      <c r="O107" s="2"/>
      <c r="P107" s="2"/>
      <c r="Q107" s="2"/>
    </row>
    <row r="108" spans="1:17" x14ac:dyDescent="0.2">
      <c r="A108" s="8" t="str">
        <f>"Increase (Decrease) in " &amp; A55</f>
        <v>Increase (Decrease) in Trade and other payables</v>
      </c>
      <c r="B108" s="2"/>
      <c r="C108" s="2"/>
      <c r="D108" s="2"/>
      <c r="E108" s="2"/>
      <c r="F108" s="2"/>
      <c r="G108" s="2">
        <f>G55-F55</f>
        <v>221021.21390000032</v>
      </c>
      <c r="H108" s="2">
        <f>H55-G55</f>
        <v>243123.33529000031</v>
      </c>
      <c r="I108" s="2">
        <f>I55-H55</f>
        <v>267435.66881900048</v>
      </c>
      <c r="J108" s="2">
        <f>J55-I55</f>
        <v>294179.2357009002</v>
      </c>
      <c r="K108" s="2">
        <f>K55-J55</f>
        <v>323597.15927099064</v>
      </c>
      <c r="N108" s="8"/>
      <c r="O108" s="2"/>
      <c r="P108" s="2"/>
      <c r="Q108" s="2"/>
    </row>
    <row r="109" spans="1:17" x14ac:dyDescent="0.2">
      <c r="A109" s="8" t="str">
        <f>"Increase (Decrease) in " &amp; A60</f>
        <v>Increase (Decrease) in Other current liabilities</v>
      </c>
      <c r="B109" s="2"/>
      <c r="C109" s="2"/>
      <c r="D109" s="2"/>
      <c r="E109" s="2"/>
      <c r="F109" s="2"/>
      <c r="G109" s="2">
        <f>G60-F60</f>
        <v>76845.915000000037</v>
      </c>
      <c r="H109" s="2">
        <f>H60-G60</f>
        <v>84530.506500000134</v>
      </c>
      <c r="I109" s="2">
        <f>I60-H60</f>
        <v>92983.557150000124</v>
      </c>
      <c r="J109" s="2">
        <f>J60-I60</f>
        <v>102281.91286500008</v>
      </c>
      <c r="K109" s="2">
        <f>K60-J60</f>
        <v>112510.10415150016</v>
      </c>
      <c r="N109" s="8"/>
      <c r="O109" s="2"/>
      <c r="P109" s="2"/>
      <c r="Q109" s="2"/>
    </row>
    <row r="110" spans="1:17" x14ac:dyDescent="0.2">
      <c r="A110" s="8" t="str">
        <f>"Increase (Decrease) in " &amp; A58</f>
        <v>Increase (Decrease) in Income tax payable</v>
      </c>
      <c r="B110" s="2"/>
      <c r="C110" s="2"/>
      <c r="D110" s="2"/>
      <c r="E110" s="2"/>
      <c r="F110" s="2"/>
      <c r="G110" s="2">
        <f>G58-F58</f>
        <v>131205.7163587462</v>
      </c>
      <c r="H110" s="2">
        <f>H58-G58</f>
        <v>37824.550235874951</v>
      </c>
      <c r="I110" s="2">
        <f>I58-H58</f>
        <v>41607.00525946205</v>
      </c>
      <c r="J110" s="2">
        <f>J58-I58</f>
        <v>45767.705785408267</v>
      </c>
      <c r="K110" s="2">
        <f>K58-J58</f>
        <v>50344.476363949419</v>
      </c>
      <c r="N110" s="8"/>
      <c r="O110" s="2"/>
      <c r="P110" s="2"/>
      <c r="Q110" s="2"/>
    </row>
    <row r="111" spans="1:17" x14ac:dyDescent="0.2">
      <c r="A111" s="8" t="str">
        <f>"Increase (Decrease) in " &amp; A68</f>
        <v>Increase (Decrease) in Provision for long-term employee benefits</v>
      </c>
      <c r="B111" s="2"/>
      <c r="C111" s="2"/>
      <c r="D111" s="2"/>
      <c r="E111" s="2"/>
      <c r="F111" s="2"/>
      <c r="G111" s="2">
        <f t="shared" ref="G111:K112" si="18">G68-F68</f>
        <v>7716.0259728955425</v>
      </c>
      <c r="H111" s="2">
        <f t="shared" si="18"/>
        <v>8758.1980034349399</v>
      </c>
      <c r="I111" s="2">
        <f t="shared" si="18"/>
        <v>9941.1319423782115</v>
      </c>
      <c r="J111" s="2">
        <f t="shared" si="18"/>
        <v>11283.839924264466</v>
      </c>
      <c r="K111" s="2">
        <f t="shared" si="18"/>
        <v>12807.901974789056</v>
      </c>
      <c r="N111" s="8"/>
      <c r="O111" s="2"/>
      <c r="P111" s="2"/>
      <c r="Q111" s="2"/>
    </row>
    <row r="112" spans="1:17" x14ac:dyDescent="0.2">
      <c r="A112" s="8" t="str">
        <f>"Increase (Decrease) in " &amp; A69</f>
        <v>Increase (Decrease) in Deferred tax liabilities</v>
      </c>
      <c r="B112" s="2"/>
      <c r="C112" s="2"/>
      <c r="D112" s="2"/>
      <c r="E112" s="2"/>
      <c r="F112" s="2"/>
      <c r="G112" s="2">
        <f t="shared" si="18"/>
        <v>53574.513000000035</v>
      </c>
      <c r="H112" s="2">
        <f t="shared" si="18"/>
        <v>58931.964300000109</v>
      </c>
      <c r="I112" s="2">
        <f t="shared" si="18"/>
        <v>64825.16073000012</v>
      </c>
      <c r="J112" s="2">
        <f t="shared" si="18"/>
        <v>71307.676803000038</v>
      </c>
      <c r="K112" s="2">
        <f t="shared" si="18"/>
        <v>78438.444483300089</v>
      </c>
      <c r="N112" s="8"/>
      <c r="O112" s="2"/>
      <c r="P112" s="2"/>
      <c r="Q112" s="2"/>
    </row>
    <row r="113" spans="1:17" x14ac:dyDescent="0.2">
      <c r="A113" s="3" t="s">
        <v>108</v>
      </c>
      <c r="B113" s="4"/>
      <c r="C113" s="4"/>
      <c r="D113" s="4"/>
      <c r="E113" s="4"/>
      <c r="F113" s="4"/>
      <c r="G113" s="4">
        <f>SUM(G96:G112)</f>
        <v>3664561.6072313236</v>
      </c>
      <c r="H113" s="4">
        <f>SUM(H96:H112)</f>
        <v>3950962.025244121</v>
      </c>
      <c r="I113" s="4">
        <f>SUM(I96:I112)</f>
        <v>4370438.132551901</v>
      </c>
      <c r="J113" s="4">
        <f>SUM(J96:J112)</f>
        <v>4829827.3636531774</v>
      </c>
      <c r="K113" s="4">
        <f>SUM(K96:K112)</f>
        <v>5333305.6589672044</v>
      </c>
      <c r="O113" s="2"/>
      <c r="P113" s="2"/>
      <c r="Q113" s="2"/>
    </row>
    <row r="114" spans="1:17" x14ac:dyDescent="0.2">
      <c r="B114" s="2"/>
      <c r="C114" s="2"/>
      <c r="D114" s="2"/>
      <c r="E114" s="2"/>
      <c r="F114" s="2"/>
      <c r="O114" s="2"/>
      <c r="P114" s="2"/>
    </row>
    <row r="115" spans="1:17" x14ac:dyDescent="0.2">
      <c r="B115" s="2"/>
      <c r="C115" s="2"/>
      <c r="D115" s="2"/>
      <c r="E115" s="2"/>
      <c r="F115" s="2"/>
      <c r="O115" s="2"/>
      <c r="P115" s="2"/>
    </row>
    <row r="116" spans="1:17" x14ac:dyDescent="0.2">
      <c r="A116" s="3" t="s">
        <v>109</v>
      </c>
      <c r="B116" s="2"/>
      <c r="C116" s="2"/>
      <c r="D116" s="2"/>
      <c r="E116" s="2"/>
      <c r="F116" s="2"/>
      <c r="O116" s="2"/>
      <c r="P116" s="2"/>
      <c r="Q116" s="3"/>
    </row>
    <row r="117" spans="1:17" x14ac:dyDescent="0.2">
      <c r="A117" t="s">
        <v>233</v>
      </c>
      <c r="B117" s="2"/>
      <c r="C117" s="2"/>
      <c r="D117" s="2"/>
      <c r="E117" s="2"/>
      <c r="F117" s="2"/>
      <c r="G117" s="2">
        <f>-'Assumptions for 3 Statement'!I44</f>
        <v>-2708825.9340466284</v>
      </c>
      <c r="H117" s="2">
        <f>-'Assumptions for 3 Statement'!J44</f>
        <v>-2979708.5274512917</v>
      </c>
      <c r="I117" s="2">
        <f>-'Assumptions for 3 Statement'!K44</f>
        <v>-3277679.3801964209</v>
      </c>
      <c r="J117" s="2">
        <f>-'Assumptions for 3 Statement'!L44</f>
        <v>-3605447.3182160635</v>
      </c>
      <c r="K117" s="2">
        <f>-'Assumptions for 3 Statement'!M44</f>
        <v>-3965992.0500376704</v>
      </c>
      <c r="O117" s="2"/>
      <c r="P117" s="2"/>
    </row>
    <row r="118" spans="1:17" x14ac:dyDescent="0.2">
      <c r="A118" t="str">
        <f>"Decrease (Increase) in " &amp; A31</f>
        <v>Decrease (Increase) in Current investments</v>
      </c>
      <c r="B118" s="2"/>
      <c r="C118" s="2"/>
      <c r="D118" s="2"/>
      <c r="E118" s="2"/>
      <c r="F118" s="2"/>
      <c r="G118" s="2">
        <f>F31-G31</f>
        <v>0</v>
      </c>
      <c r="H118" s="2">
        <f>G31-H31</f>
        <v>0</v>
      </c>
      <c r="I118" s="2">
        <f>H31-I31</f>
        <v>0</v>
      </c>
      <c r="J118" s="2">
        <f>I31-J31</f>
        <v>0</v>
      </c>
      <c r="K118" s="2">
        <f>J31-K31</f>
        <v>0</v>
      </c>
      <c r="O118" s="2"/>
      <c r="P118" s="2"/>
    </row>
    <row r="119" spans="1:17" x14ac:dyDescent="0.2">
      <c r="A119" t="str">
        <f>"Decrease (Increase) in " &amp; A36</f>
        <v>Decrease (Increase) in Other current financial assets</v>
      </c>
      <c r="B119" s="2"/>
      <c r="C119" s="2"/>
      <c r="D119" s="2"/>
      <c r="E119" s="2"/>
      <c r="F119" s="2"/>
      <c r="G119" s="2">
        <f>F36-G36</f>
        <v>-7205.1992000000027</v>
      </c>
      <c r="H119" s="2">
        <f>G36-H36</f>
        <v>-7925.7191200000088</v>
      </c>
      <c r="I119" s="2">
        <f>H36-I36</f>
        <v>-8718.2910320000083</v>
      </c>
      <c r="J119" s="2">
        <f>I36-J36</f>
        <v>-9590.1201352000062</v>
      </c>
      <c r="K119" s="2">
        <f>J36-K36</f>
        <v>-10549.132148720018</v>
      </c>
      <c r="O119" s="2"/>
      <c r="P119" s="2"/>
    </row>
    <row r="120" spans="1:17" x14ac:dyDescent="0.2">
      <c r="A120" t="str">
        <f>"Decrease (Increase) in " &amp; A41</f>
        <v>Decrease (Increase) in Investments in subsidiaries</v>
      </c>
      <c r="B120" s="2"/>
      <c r="C120" s="2"/>
      <c r="D120" s="2"/>
      <c r="E120" s="2"/>
      <c r="F120" s="2"/>
      <c r="G120" s="2">
        <f>F41-G41</f>
        <v>0</v>
      </c>
      <c r="H120" s="2">
        <f>G41-H41</f>
        <v>0</v>
      </c>
      <c r="I120" s="2">
        <f>H41-I41</f>
        <v>0</v>
      </c>
      <c r="J120" s="2">
        <f>I41-J41</f>
        <v>0</v>
      </c>
      <c r="K120" s="2">
        <f>J41-K41</f>
        <v>0</v>
      </c>
      <c r="O120" s="2"/>
      <c r="P120" s="2"/>
    </row>
    <row r="121" spans="1:17" x14ac:dyDescent="0.2">
      <c r="A121" t="str">
        <f>"Decrease (Increase) in " &amp; A44</f>
        <v>Decrease (Increase) in Goodwill</v>
      </c>
      <c r="B121" s="2"/>
      <c r="C121" s="2"/>
      <c r="D121" s="2"/>
      <c r="E121" s="2"/>
      <c r="F121" s="2"/>
      <c r="G121" s="2">
        <f>F44-G44</f>
        <v>0</v>
      </c>
      <c r="H121" s="2">
        <f>G44-H44</f>
        <v>0</v>
      </c>
      <c r="I121" s="2">
        <f>H44-I44</f>
        <v>0</v>
      </c>
      <c r="J121" s="2">
        <f>I44-J44</f>
        <v>0</v>
      </c>
      <c r="K121" s="2">
        <f>J44-K44</f>
        <v>0</v>
      </c>
      <c r="O121" s="2"/>
      <c r="P121" s="2"/>
    </row>
    <row r="122" spans="1:17" x14ac:dyDescent="0.2">
      <c r="A122" t="str">
        <f>"Decrease (Increase) in " &amp; A46</f>
        <v>Decrease (Increase) in Advance payments for purchases of machinery</v>
      </c>
      <c r="B122" s="2"/>
      <c r="C122" s="2"/>
      <c r="D122" s="2"/>
      <c r="E122" s="2"/>
      <c r="F122" s="2"/>
      <c r="G122" s="2">
        <f t="shared" ref="G122:K123" si="19">F46-G46</f>
        <v>-215862.45210292988</v>
      </c>
      <c r="H122" s="2">
        <f t="shared" si="19"/>
        <v>-63559.490210293094</v>
      </c>
      <c r="I122" s="2">
        <f t="shared" si="19"/>
        <v>-69915.43923132238</v>
      </c>
      <c r="J122" s="2">
        <f t="shared" si="19"/>
        <v>-76906.983154454618</v>
      </c>
      <c r="K122" s="2">
        <f t="shared" si="19"/>
        <v>-84597.681469900184</v>
      </c>
      <c r="O122" s="2"/>
      <c r="P122" s="2"/>
    </row>
    <row r="123" spans="1:17" x14ac:dyDescent="0.2">
      <c r="A123" t="str">
        <f>"Decrease (Increase) in " &amp; A47</f>
        <v>Decrease (Increase) in Other non-current financial assets</v>
      </c>
      <c r="B123" s="2"/>
      <c r="C123" s="2"/>
      <c r="D123" s="2"/>
      <c r="E123" s="2"/>
      <c r="F123" s="2"/>
      <c r="G123" s="2">
        <f t="shared" si="19"/>
        <v>-31282.76880000002</v>
      </c>
      <c r="H123" s="2">
        <f t="shared" si="19"/>
        <v>-34411.045680000039</v>
      </c>
      <c r="I123" s="2">
        <f t="shared" si="19"/>
        <v>-37852.150248000049</v>
      </c>
      <c r="J123" s="2">
        <f t="shared" si="19"/>
        <v>-41637.365272800031</v>
      </c>
      <c r="K123" s="2">
        <f t="shared" si="19"/>
        <v>-45801.10180008004</v>
      </c>
      <c r="O123" s="2"/>
      <c r="P123" s="2"/>
    </row>
    <row r="124" spans="1:17" x14ac:dyDescent="0.2">
      <c r="A124" t="str">
        <f>"Increase (Decrease) in " &amp; A59</f>
        <v>Increase (Decrease) in Other current financial liabilities</v>
      </c>
      <c r="B124" s="2"/>
      <c r="C124" s="2"/>
      <c r="D124" s="2"/>
      <c r="E124" s="2"/>
      <c r="F124" s="2"/>
      <c r="G124" s="2">
        <f>G59-F59</f>
        <v>5536.3639000000039</v>
      </c>
      <c r="H124" s="2">
        <f>H59-G59</f>
        <v>6090.0002900000109</v>
      </c>
      <c r="I124" s="2">
        <f>I59-H59</f>
        <v>6699.0003190000134</v>
      </c>
      <c r="J124" s="2">
        <f>J59-I59</f>
        <v>7368.9003509000031</v>
      </c>
      <c r="K124" s="2">
        <f>K59-J59</f>
        <v>8105.7903859900107</v>
      </c>
      <c r="O124" s="2"/>
      <c r="P124" s="2"/>
    </row>
    <row r="125" spans="1:17" x14ac:dyDescent="0.2">
      <c r="A125" t="str">
        <f>"Increase (Decrease) in " &amp; A70</f>
        <v>Increase (Decrease) in Other non-current financial liabilities</v>
      </c>
      <c r="B125" s="2"/>
      <c r="C125" s="2"/>
      <c r="D125" s="2"/>
      <c r="E125" s="2"/>
      <c r="F125" s="2"/>
      <c r="G125" s="2">
        <f t="shared" ref="G125:K126" si="20">G70-F70</f>
        <v>909.83250000000044</v>
      </c>
      <c r="H125" s="2">
        <f t="shared" si="20"/>
        <v>1000.8157500000016</v>
      </c>
      <c r="I125" s="2">
        <f t="shared" si="20"/>
        <v>1100.8973250000017</v>
      </c>
      <c r="J125" s="2">
        <f t="shared" si="20"/>
        <v>1210.9870575000023</v>
      </c>
      <c r="K125" s="2">
        <f t="shared" si="20"/>
        <v>1332.085763250001</v>
      </c>
      <c r="O125" s="2"/>
      <c r="P125" s="2"/>
    </row>
    <row r="126" spans="1:17" x14ac:dyDescent="0.2">
      <c r="A126" t="str">
        <f>"Increase (Decrease) in " &amp; A71</f>
        <v>Increase (Decrease) in Other non-current liabilities</v>
      </c>
      <c r="B126" s="2"/>
      <c r="C126" s="2"/>
      <c r="D126" s="2"/>
      <c r="E126" s="2"/>
      <c r="F126" s="2"/>
      <c r="G126" s="2">
        <f t="shared" si="20"/>
        <v>55.903099999999995</v>
      </c>
      <c r="H126" s="2">
        <f t="shared" si="20"/>
        <v>61.49341000000004</v>
      </c>
      <c r="I126" s="2">
        <f t="shared" si="20"/>
        <v>67.642751000000089</v>
      </c>
      <c r="J126" s="2">
        <f t="shared" si="20"/>
        <v>74.407026100000053</v>
      </c>
      <c r="K126" s="2">
        <f t="shared" si="20"/>
        <v>81.847728710000069</v>
      </c>
      <c r="N126" s="3"/>
      <c r="O126" s="4"/>
      <c r="P126" s="4"/>
    </row>
    <row r="127" spans="1:17" x14ac:dyDescent="0.2">
      <c r="A127" t="str">
        <f>"Increase (Decrease) in " &amp; A87</f>
        <v>Increase (Decrease) in Non-controlling interests of the subsidiary</v>
      </c>
      <c r="B127" s="2"/>
      <c r="C127" s="2"/>
      <c r="D127" s="2"/>
      <c r="E127" s="2"/>
      <c r="F127" s="2"/>
      <c r="G127" s="2">
        <f>G87-F87</f>
        <v>9457.2331000000122</v>
      </c>
      <c r="H127" s="2">
        <f>H87-G87</f>
        <v>10402.956410000013</v>
      </c>
      <c r="I127" s="2">
        <f>I87-H87</f>
        <v>11443.252051000018</v>
      </c>
      <c r="J127" s="2">
        <f>J87-I87</f>
        <v>12587.577256100019</v>
      </c>
      <c r="K127" s="2">
        <f>K87-J87</f>
        <v>13846.33498171001</v>
      </c>
      <c r="O127" s="2"/>
      <c r="P127" s="2"/>
    </row>
    <row r="128" spans="1:17" x14ac:dyDescent="0.2">
      <c r="A128" s="3" t="s">
        <v>123</v>
      </c>
      <c r="B128" s="4"/>
      <c r="C128" s="4"/>
      <c r="D128" s="4"/>
      <c r="E128" s="4"/>
      <c r="F128" s="4"/>
      <c r="G128" s="4">
        <f>SUM(G117:G127)</f>
        <v>-2947217.0215495583</v>
      </c>
      <c r="H128" s="4">
        <f>SUM(H117:H127)</f>
        <v>-3068049.5166015849</v>
      </c>
      <c r="I128" s="4">
        <f>SUM(I117:I127)</f>
        <v>-3374854.4682617434</v>
      </c>
      <c r="J128" s="4">
        <f>SUM(J117:J127)</f>
        <v>-3712339.9150879188</v>
      </c>
      <c r="K128" s="4">
        <f>SUM(K117:K127)</f>
        <v>-4083573.90659671</v>
      </c>
      <c r="O128" s="2"/>
      <c r="P128" s="2"/>
      <c r="Q128" s="3"/>
    </row>
    <row r="129" spans="1:17" x14ac:dyDescent="0.2">
      <c r="B129" s="2"/>
      <c r="C129" s="2"/>
      <c r="D129" s="2"/>
      <c r="E129" s="2"/>
      <c r="F129" s="2"/>
      <c r="O129" s="2"/>
      <c r="P129" s="2"/>
    </row>
    <row r="130" spans="1:17" x14ac:dyDescent="0.2">
      <c r="A130" s="3" t="s">
        <v>124</v>
      </c>
      <c r="B130" s="2"/>
      <c r="C130" s="2"/>
      <c r="D130" s="2"/>
      <c r="E130" s="2"/>
      <c r="F130" s="2"/>
      <c r="Q130" s="3"/>
    </row>
    <row r="131" spans="1:17" x14ac:dyDescent="0.2">
      <c r="A131" t="s">
        <v>131</v>
      </c>
      <c r="B131" s="2"/>
      <c r="C131" s="2"/>
      <c r="D131" s="2"/>
      <c r="E131" s="2"/>
      <c r="F131" s="2"/>
      <c r="G131" s="2">
        <f>-'Assumptions for 3 Statement'!I76</f>
        <v>0</v>
      </c>
      <c r="H131" s="2">
        <f>-'Assumptions for 3 Statement'!J76</f>
        <v>0</v>
      </c>
      <c r="I131" s="2">
        <f>-'Assumptions for 3 Statement'!K76</f>
        <v>0</v>
      </c>
      <c r="J131" s="2">
        <f>-'Assumptions for 3 Statement'!L76</f>
        <v>0</v>
      </c>
      <c r="K131" s="2">
        <f>-'Assumptions for 3 Statement'!M76</f>
        <v>0</v>
      </c>
    </row>
    <row r="132" spans="1:17" x14ac:dyDescent="0.2">
      <c r="A132" t="str">
        <f>"Increase (Decrease) in " &amp; A85</f>
        <v>Increase (Decrease) in Other components of shareholders' equity</v>
      </c>
      <c r="B132" s="2"/>
      <c r="C132" s="2"/>
      <c r="D132" s="2"/>
      <c r="E132" s="2"/>
      <c r="F132" s="2"/>
      <c r="G132" s="2">
        <f>G85-F85</f>
        <v>-249761.57860000012</v>
      </c>
      <c r="H132" s="2">
        <f>H85-G85</f>
        <v>0</v>
      </c>
      <c r="I132" s="2">
        <f>I85-H85</f>
        <v>0</v>
      </c>
      <c r="J132" s="2">
        <f>J85-I85</f>
        <v>0</v>
      </c>
      <c r="K132" s="2">
        <f>K85-J85</f>
        <v>0</v>
      </c>
    </row>
    <row r="133" spans="1:17" x14ac:dyDescent="0.2">
      <c r="A133" s="3" t="s">
        <v>254</v>
      </c>
      <c r="B133" s="4"/>
      <c r="C133" s="4"/>
      <c r="D133" s="4"/>
      <c r="E133" s="4"/>
      <c r="F133" s="4"/>
      <c r="G133" s="4">
        <f>SUM(G131:G132)</f>
        <v>-249761.57860000012</v>
      </c>
      <c r="H133" s="4">
        <f>SUM(H131:H132)</f>
        <v>0</v>
      </c>
      <c r="I133" s="4">
        <f t="shared" ref="I133:K133" si="21">SUM(I131:I132)</f>
        <v>0</v>
      </c>
      <c r="J133" s="4">
        <f t="shared" si="21"/>
        <v>0</v>
      </c>
      <c r="K133" s="4">
        <f t="shared" si="21"/>
        <v>0</v>
      </c>
      <c r="Q133" s="3"/>
    </row>
    <row r="134" spans="1:17" x14ac:dyDescent="0.2">
      <c r="A134" t="str">
        <f>"Increase (Decrease) in " &amp; A54</f>
        <v>Increase (Decrease) in Short-term loans from banks</v>
      </c>
      <c r="B134" s="2"/>
      <c r="C134" s="2"/>
      <c r="D134" s="2"/>
      <c r="E134" s="2"/>
      <c r="F134" s="2"/>
      <c r="G134" s="2">
        <f>SUM(G54)-SUM(F54)</f>
        <v>-1168990.7160817697</v>
      </c>
      <c r="H134" s="2">
        <f t="shared" ref="H134:K134" si="22">SUM(H54)-SUM(G54)</f>
        <v>-184009.28391823033</v>
      </c>
      <c r="I134" s="2">
        <f t="shared" si="22"/>
        <v>0</v>
      </c>
      <c r="J134" s="2">
        <f t="shared" si="22"/>
        <v>0</v>
      </c>
      <c r="K134" s="2">
        <f t="shared" si="22"/>
        <v>0</v>
      </c>
    </row>
    <row r="135" spans="1:17" x14ac:dyDescent="0.2">
      <c r="A135" t="s">
        <v>235</v>
      </c>
      <c r="B135" s="2"/>
      <c r="C135" s="2"/>
      <c r="D135" s="2"/>
      <c r="E135" s="2"/>
      <c r="F135" s="2"/>
      <c r="G135" s="2">
        <f>SUM(G66,G56)-SUM(F56,F66)</f>
        <v>671030.87526748562</v>
      </c>
      <c r="H135" s="2">
        <f>SUM(H66,H56)-SUM(G56,G66)</f>
        <v>778787.45603840612</v>
      </c>
      <c r="I135" s="2">
        <f>SUM(I66,I56)-SUM(H56,H66)</f>
        <v>518062.95988641772</v>
      </c>
      <c r="J135" s="2">
        <f>SUM(J66,J56)-SUM(I56,I66)</f>
        <v>231266.01411923114</v>
      </c>
      <c r="K135" s="2">
        <f>SUM(K66,K56)-SUM(J56,J66)</f>
        <v>254392.61553115491</v>
      </c>
    </row>
    <row r="136" spans="1:17" x14ac:dyDescent="0.2">
      <c r="A136" t="s">
        <v>236</v>
      </c>
      <c r="B136" s="2"/>
      <c r="C136" s="2"/>
      <c r="D136" s="2"/>
      <c r="E136" s="2"/>
      <c r="F136" s="2"/>
      <c r="G136" s="2">
        <f>SUM(G57,G67)-SUM(F57,F67)</f>
        <v>-25257.329999999998</v>
      </c>
      <c r="H136" s="2">
        <f>SUM(H57,H67)-SUM(G57,G67)</f>
        <v>0</v>
      </c>
      <c r="I136" s="2">
        <f>SUM(I57,I67)-SUM(H57,H67)</f>
        <v>0</v>
      </c>
      <c r="J136" s="2">
        <f>SUM(J57,J67)-SUM(I57,I67)</f>
        <v>0</v>
      </c>
      <c r="K136" s="2">
        <f>SUM(K57,K67)-SUM(J57,J67)</f>
        <v>0</v>
      </c>
    </row>
    <row r="137" spans="1:17" x14ac:dyDescent="0.2">
      <c r="A137" t="s">
        <v>132</v>
      </c>
      <c r="B137" s="2"/>
      <c r="C137" s="2"/>
      <c r="D137" s="2"/>
      <c r="E137" s="2"/>
      <c r="F137" s="2"/>
      <c r="G137" s="2">
        <f>SUM(G133:G136)</f>
        <v>-772978.74941428413</v>
      </c>
      <c r="H137" s="2">
        <f>SUM(H133:H136)</f>
        <v>594778.17212017579</v>
      </c>
      <c r="I137" s="2">
        <f t="shared" ref="I137:K137" si="23">SUM(I133:I136)</f>
        <v>518062.95988641772</v>
      </c>
      <c r="J137" s="2">
        <f t="shared" si="23"/>
        <v>231266.01411923114</v>
      </c>
      <c r="K137" s="2">
        <f t="shared" si="23"/>
        <v>254392.61553115491</v>
      </c>
      <c r="O137" s="2"/>
      <c r="P137" s="2"/>
    </row>
    <row r="138" spans="1:17" x14ac:dyDescent="0.2">
      <c r="B138" s="7"/>
      <c r="C138" s="7"/>
      <c r="D138" s="7"/>
      <c r="E138" s="7"/>
      <c r="F138" s="7"/>
      <c r="O138" s="2"/>
      <c r="P138" s="2"/>
    </row>
    <row r="139" spans="1:17" x14ac:dyDescent="0.2">
      <c r="O139" s="2"/>
      <c r="P139" s="2"/>
    </row>
    <row r="140" spans="1:17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O140" s="7"/>
      <c r="P140" s="7"/>
    </row>
    <row r="141" spans="1:17" x14ac:dyDescent="0.2">
      <c r="A141" s="3" t="s">
        <v>134</v>
      </c>
      <c r="B141" s="4"/>
      <c r="C141" s="4"/>
      <c r="D141" s="4"/>
      <c r="E141" s="4"/>
      <c r="F141" s="4"/>
      <c r="G141" s="4">
        <f>SUM(G137,G113,G128)</f>
        <v>-55634.163732518908</v>
      </c>
      <c r="H141" s="4">
        <f>SUM(H137,H113,H128)</f>
        <v>1477690.6807627119</v>
      </c>
      <c r="I141" s="4">
        <f t="shared" ref="I141:K141" si="24">SUM(I137,I113,I128)</f>
        <v>1513646.6241765753</v>
      </c>
      <c r="J141" s="4">
        <f t="shared" si="24"/>
        <v>1348753.4626844898</v>
      </c>
      <c r="K141" s="4">
        <f t="shared" si="24"/>
        <v>1504124.3679016493</v>
      </c>
      <c r="N141" s="3"/>
      <c r="O141" s="4"/>
      <c r="P141" s="4"/>
      <c r="Q141" s="3"/>
    </row>
    <row r="142" spans="1:17" x14ac:dyDescent="0.2">
      <c r="A142" t="s">
        <v>247</v>
      </c>
      <c r="B142" s="7"/>
      <c r="C142" s="2"/>
      <c r="D142" s="2"/>
      <c r="E142" s="2"/>
      <c r="F142" s="2"/>
      <c r="G142" s="2">
        <f>F143</f>
        <v>2201407.7090000045</v>
      </c>
      <c r="H142" s="2">
        <f t="shared" ref="H142:K142" si="25">G143</f>
        <v>2145773.5452674855</v>
      </c>
      <c r="I142" s="2">
        <f t="shared" si="25"/>
        <v>3623464.2260301975</v>
      </c>
      <c r="J142" s="2">
        <f t="shared" si="25"/>
        <v>5137110.8502067728</v>
      </c>
      <c r="K142" s="2">
        <f t="shared" si="25"/>
        <v>6485864.3128912626</v>
      </c>
      <c r="O142" s="2"/>
      <c r="P142" s="2"/>
    </row>
    <row r="143" spans="1:17" x14ac:dyDescent="0.2">
      <c r="A143" s="3" t="s">
        <v>136</v>
      </c>
      <c r="B143" s="4"/>
      <c r="C143" s="4"/>
      <c r="D143" s="4"/>
      <c r="E143" s="4"/>
      <c r="F143" s="4">
        <f>F30</f>
        <v>2201407.7090000045</v>
      </c>
      <c r="G143" s="4">
        <f>SUM(G141:G142)</f>
        <v>2145773.5452674855</v>
      </c>
      <c r="H143" s="4">
        <f>SUM(H141:H142)</f>
        <v>3623464.2260301975</v>
      </c>
      <c r="I143" s="4">
        <f>SUM(I141:I142)</f>
        <v>5137110.8502067728</v>
      </c>
      <c r="J143" s="4">
        <f>SUM(J141:J142)</f>
        <v>6485864.3128912626</v>
      </c>
      <c r="K143" s="4">
        <f>SUM(K141:K142)</f>
        <v>7989988.6807929119</v>
      </c>
      <c r="N143" s="3"/>
      <c r="O143" s="4"/>
      <c r="P143" s="4"/>
      <c r="Q143" s="3"/>
    </row>
    <row r="144" spans="1:17" x14ac:dyDescent="0.2">
      <c r="B144" s="2"/>
      <c r="C144" s="2"/>
      <c r="D144" s="2"/>
      <c r="E144" s="2"/>
      <c r="F144" s="2"/>
    </row>
    <row r="146" spans="1:11" x14ac:dyDescent="0.2">
      <c r="A146" s="58" t="s">
        <v>298</v>
      </c>
      <c r="B146" s="58"/>
      <c r="C146" s="58"/>
      <c r="D146" s="58"/>
      <c r="E146" s="58"/>
      <c r="F146" s="58"/>
      <c r="G146" s="59">
        <f>G22*(1+'Assumptions for 3 Statement'!$B$32)+G97+G98+SUM(G100:G112)+G117</f>
        <v>2468717.6826196793</v>
      </c>
      <c r="H146" s="59">
        <f>H22*(1+'Assumptions for 3 Statement'!$B$32)+H97+H98+SUM(H100:H112)+H117</f>
        <v>2635533.7081713146</v>
      </c>
      <c r="I146" s="59">
        <f>I22*(1+'Assumptions for 3 Statement'!$B$32)+I97+I98+SUM(I100:I112)+I117</f>
        <v>2923466.9837718126</v>
      </c>
      <c r="J146" s="59">
        <f>J22*(1+'Assumptions for 3 Statement'!$B$32)+J97+J98+SUM(J100:J112)+J117</f>
        <v>3238159.0999950808</v>
      </c>
      <c r="K146" s="59">
        <f>K22*(1+'Assumptions for 3 Statement'!$B$32)+K97+K98+SUM(K100:K112)+K117</f>
        <v>3582470.568943298</v>
      </c>
    </row>
    <row r="158" spans="1:11" x14ac:dyDescent="0.2">
      <c r="B158" s="2"/>
      <c r="C158" s="2"/>
      <c r="D158" s="2"/>
      <c r="E158" s="2"/>
      <c r="F158" s="2"/>
    </row>
    <row r="159" spans="1:11" x14ac:dyDescent="0.2">
      <c r="B159" s="2"/>
      <c r="C159" s="2"/>
      <c r="D159" s="2"/>
      <c r="E159" s="2"/>
      <c r="F159" s="2"/>
    </row>
    <row r="160" spans="1:11" x14ac:dyDescent="0.2">
      <c r="B160" s="2"/>
      <c r="C160" s="2"/>
      <c r="D160" s="2"/>
      <c r="E160" s="2"/>
      <c r="F160" s="2"/>
    </row>
    <row r="161" spans="2:6" x14ac:dyDescent="0.2">
      <c r="B161" s="2"/>
      <c r="C161" s="2"/>
      <c r="D161" s="2"/>
      <c r="E161" s="2"/>
      <c r="F161" s="2"/>
    </row>
    <row r="162" spans="2:6" x14ac:dyDescent="0.2">
      <c r="B162" s="2"/>
      <c r="C162" s="2"/>
      <c r="D162" s="2"/>
      <c r="E162" s="2"/>
      <c r="F162" s="2"/>
    </row>
    <row r="163" spans="2:6" x14ac:dyDescent="0.2">
      <c r="B163" s="2"/>
      <c r="C163" s="2"/>
      <c r="D163" s="2"/>
      <c r="E163" s="2"/>
      <c r="F163" s="2"/>
    </row>
    <row r="164" spans="2:6" x14ac:dyDescent="0.2">
      <c r="B164" s="2"/>
      <c r="C164" s="2"/>
      <c r="D164" s="2"/>
      <c r="E164" s="2"/>
      <c r="F164" s="2"/>
    </row>
    <row r="165" spans="2:6" x14ac:dyDescent="0.2">
      <c r="B165" s="2"/>
      <c r="C165" s="2"/>
      <c r="D165" s="2"/>
      <c r="E165" s="2"/>
      <c r="F165" s="2"/>
    </row>
    <row r="166" spans="2:6" x14ac:dyDescent="0.2">
      <c r="B166" s="2"/>
      <c r="C166" s="2"/>
      <c r="D166" s="2"/>
      <c r="E166" s="2"/>
      <c r="F166" s="2"/>
    </row>
    <row r="167" spans="2:6" x14ac:dyDescent="0.2">
      <c r="B167" s="2"/>
      <c r="C167" s="2"/>
      <c r="D167" s="2"/>
      <c r="E167" s="2"/>
      <c r="F167" s="2"/>
    </row>
    <row r="168" spans="2:6" x14ac:dyDescent="0.2">
      <c r="B168" s="2"/>
      <c r="C168" s="2"/>
      <c r="D168" s="2"/>
      <c r="E168" s="2"/>
      <c r="F168" s="2"/>
    </row>
    <row r="169" spans="2:6" x14ac:dyDescent="0.2">
      <c r="B169" s="2"/>
      <c r="C169" s="2"/>
      <c r="D169" s="2"/>
      <c r="E169" s="2"/>
      <c r="F169" s="2"/>
    </row>
    <row r="170" spans="2:6" x14ac:dyDescent="0.2">
      <c r="B170" s="2"/>
      <c r="C170" s="2"/>
      <c r="D170" s="2"/>
      <c r="E170" s="2"/>
      <c r="F170" s="2"/>
    </row>
    <row r="171" spans="2:6" x14ac:dyDescent="0.2">
      <c r="B171" s="2"/>
      <c r="C171" s="2"/>
      <c r="D171" s="2"/>
      <c r="E171" s="2"/>
      <c r="F171" s="2"/>
    </row>
    <row r="172" spans="2:6" x14ac:dyDescent="0.2">
      <c r="B172" s="2"/>
      <c r="C172" s="2"/>
      <c r="D172" s="2"/>
      <c r="E172" s="2"/>
      <c r="F172" s="2"/>
    </row>
    <row r="173" spans="2:6" x14ac:dyDescent="0.2">
      <c r="B173" s="2"/>
      <c r="C173" s="2"/>
      <c r="D173" s="2"/>
      <c r="E173" s="2"/>
      <c r="F173" s="2"/>
    </row>
    <row r="174" spans="2:6" x14ac:dyDescent="0.2">
      <c r="B174" s="2"/>
      <c r="C174" s="2"/>
      <c r="D174" s="2"/>
      <c r="E174" s="2"/>
      <c r="F174" s="2"/>
    </row>
    <row r="175" spans="2:6" x14ac:dyDescent="0.2">
      <c r="B175" s="2"/>
      <c r="C175" s="2"/>
      <c r="D175" s="2"/>
      <c r="E175" s="2"/>
      <c r="F175" s="2"/>
    </row>
    <row r="176" spans="2:6" x14ac:dyDescent="0.2">
      <c r="B176" s="2"/>
      <c r="C176" s="2"/>
      <c r="D176" s="2"/>
      <c r="E176" s="2"/>
      <c r="F176" s="2"/>
    </row>
    <row r="177" spans="2:6" x14ac:dyDescent="0.2">
      <c r="B177" s="2"/>
      <c r="C177" s="2"/>
      <c r="D177" s="2"/>
      <c r="E177" s="2"/>
      <c r="F177" s="2"/>
    </row>
    <row r="178" spans="2:6" x14ac:dyDescent="0.2">
      <c r="B178" s="2"/>
      <c r="C178" s="2"/>
      <c r="D178" s="2"/>
      <c r="E178" s="2"/>
      <c r="F178" s="2"/>
    </row>
    <row r="179" spans="2:6" x14ac:dyDescent="0.2">
      <c r="B179" s="2"/>
      <c r="C179" s="2"/>
      <c r="D179" s="2"/>
      <c r="E179" s="2"/>
      <c r="F179" s="2"/>
    </row>
    <row r="180" spans="2:6" x14ac:dyDescent="0.2">
      <c r="B180" s="2"/>
      <c r="C180" s="2"/>
      <c r="D180" s="2"/>
      <c r="E180" s="2"/>
      <c r="F180" s="2"/>
    </row>
    <row r="181" spans="2:6" x14ac:dyDescent="0.2">
      <c r="B181" s="2"/>
      <c r="C181" s="2"/>
      <c r="D181" s="2"/>
      <c r="E181" s="2"/>
      <c r="F181" s="2"/>
    </row>
    <row r="182" spans="2:6" x14ac:dyDescent="0.2">
      <c r="B182" s="2"/>
      <c r="C182" s="2"/>
      <c r="D182" s="2"/>
      <c r="E182" s="2"/>
      <c r="F182" s="2"/>
    </row>
    <row r="183" spans="2:6" x14ac:dyDescent="0.2">
      <c r="B183" s="2"/>
      <c r="C183" s="2"/>
      <c r="D183" s="2"/>
      <c r="E183" s="2"/>
      <c r="F183" s="2"/>
    </row>
    <row r="184" spans="2:6" x14ac:dyDescent="0.2">
      <c r="B184" s="2"/>
      <c r="C184" s="2"/>
      <c r="D184" s="2"/>
      <c r="E184" s="2"/>
      <c r="F184" s="2"/>
    </row>
    <row r="185" spans="2:6" x14ac:dyDescent="0.2">
      <c r="B185" s="2"/>
      <c r="C185" s="2"/>
      <c r="D185" s="2"/>
      <c r="E185" s="2"/>
      <c r="F185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DDCA-B7B0-874D-A659-949C2AF9F6FC}">
  <dimension ref="B3:D20"/>
  <sheetViews>
    <sheetView workbookViewId="0">
      <selection activeCell="C11" sqref="C11"/>
    </sheetView>
  </sheetViews>
  <sheetFormatPr baseColWidth="10" defaultRowHeight="16" x14ac:dyDescent="0.2"/>
  <cols>
    <col min="2" max="2" width="21.83203125" customWidth="1"/>
    <col min="3" max="3" width="11.5" bestFit="1" customWidth="1"/>
  </cols>
  <sheetData>
    <row r="3" spans="2:4" x14ac:dyDescent="0.2">
      <c r="B3" s="41" t="s">
        <v>270</v>
      </c>
      <c r="C3" s="41"/>
    </row>
    <row r="4" spans="2:4" x14ac:dyDescent="0.2">
      <c r="B4" s="42" t="s">
        <v>271</v>
      </c>
      <c r="C4" s="43">
        <f>Model!F88</f>
        <v>17921817.809</v>
      </c>
    </row>
    <row r="5" spans="2:4" x14ac:dyDescent="0.2">
      <c r="B5" s="42" t="s">
        <v>272</v>
      </c>
      <c r="C5" s="43">
        <f>SUM(Model!F56,Model!F66)</f>
        <v>2378201.2239999999</v>
      </c>
    </row>
    <row r="6" spans="2:4" x14ac:dyDescent="0.2">
      <c r="B6" s="42"/>
      <c r="C6" s="42"/>
    </row>
    <row r="7" spans="2:4" x14ac:dyDescent="0.2">
      <c r="B7" s="42" t="s">
        <v>280</v>
      </c>
      <c r="C7" s="44">
        <f>-Model!F24/WACC!C5</f>
        <v>2.635804631139152E-2</v>
      </c>
    </row>
    <row r="8" spans="2:4" x14ac:dyDescent="0.2">
      <c r="B8" s="42" t="s">
        <v>273</v>
      </c>
      <c r="C8" s="45">
        <f>'Assumptions for 3 Statement'!B32</f>
        <v>0.2</v>
      </c>
      <c r="D8" t="s">
        <v>295</v>
      </c>
    </row>
    <row r="9" spans="2:4" x14ac:dyDescent="0.2">
      <c r="B9" s="42" t="s">
        <v>279</v>
      </c>
      <c r="C9" s="44">
        <f>C5/SUM(C4:C5)</f>
        <v>0.11715265981445447</v>
      </c>
    </row>
    <row r="10" spans="2:4" x14ac:dyDescent="0.2">
      <c r="B10" s="42" t="s">
        <v>280</v>
      </c>
      <c r="C10" s="46">
        <f>C7*(1-C8)</f>
        <v>2.1086437049113217E-2</v>
      </c>
    </row>
    <row r="11" spans="2:4" x14ac:dyDescent="0.2">
      <c r="B11" s="42"/>
      <c r="C11" s="42"/>
    </row>
    <row r="12" spans="2:4" x14ac:dyDescent="0.2">
      <c r="B12" s="42"/>
      <c r="C12" s="42"/>
    </row>
    <row r="13" spans="2:4" x14ac:dyDescent="0.2">
      <c r="B13" s="42" t="s">
        <v>274</v>
      </c>
      <c r="C13" s="45">
        <v>0.03</v>
      </c>
      <c r="D13" t="s">
        <v>295</v>
      </c>
    </row>
    <row r="14" spans="2:4" x14ac:dyDescent="0.2">
      <c r="B14" s="42" t="s">
        <v>275</v>
      </c>
      <c r="C14" s="45">
        <v>0.08</v>
      </c>
      <c r="D14" t="s">
        <v>295</v>
      </c>
    </row>
    <row r="15" spans="2:4" x14ac:dyDescent="0.2">
      <c r="B15" s="42" t="s">
        <v>276</v>
      </c>
      <c r="C15" s="45">
        <f>C14-C13</f>
        <v>0.05</v>
      </c>
    </row>
    <row r="16" spans="2:4" x14ac:dyDescent="0.2">
      <c r="B16" s="42" t="s">
        <v>277</v>
      </c>
      <c r="C16" s="42">
        <v>0.9</v>
      </c>
    </row>
    <row r="17" spans="2:3" x14ac:dyDescent="0.2">
      <c r="B17" s="42" t="s">
        <v>278</v>
      </c>
      <c r="C17" s="44">
        <f>C4/SUM(C5,C4)</f>
        <v>0.88284734018554556</v>
      </c>
    </row>
    <row r="18" spans="2:3" x14ac:dyDescent="0.2">
      <c r="B18" s="42" t="s">
        <v>281</v>
      </c>
      <c r="C18" s="47">
        <f>C13+(C16*(C15))</f>
        <v>7.5000000000000011E-2</v>
      </c>
    </row>
    <row r="19" spans="2:3" x14ac:dyDescent="0.2">
      <c r="B19" s="42"/>
      <c r="C19" s="42"/>
    </row>
    <row r="20" spans="2:3" x14ac:dyDescent="0.2">
      <c r="B20" s="42" t="s">
        <v>282</v>
      </c>
      <c r="C20" s="48">
        <f>C10*C9+C18*C17</f>
        <v>6.8683882700229598E-2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A4F3-1BAF-8241-9B30-D892D2193EE8}">
  <dimension ref="B3:K26"/>
  <sheetViews>
    <sheetView workbookViewId="0">
      <selection activeCell="B20" sqref="B20"/>
    </sheetView>
  </sheetViews>
  <sheetFormatPr baseColWidth="10" defaultRowHeight="16" x14ac:dyDescent="0.2"/>
  <cols>
    <col min="2" max="2" width="45.5" bestFit="1" customWidth="1"/>
    <col min="3" max="3" width="20.33203125" bestFit="1" customWidth="1"/>
  </cols>
  <sheetData>
    <row r="3" spans="2:11" x14ac:dyDescent="0.2">
      <c r="B3" t="s">
        <v>283</v>
      </c>
    </row>
    <row r="5" spans="2:11" x14ac:dyDescent="0.2">
      <c r="B5" s="2"/>
    </row>
    <row r="6" spans="2:11" x14ac:dyDescent="0.2">
      <c r="C6" s="50" t="s">
        <v>206</v>
      </c>
      <c r="D6" s="50"/>
      <c r="E6" s="50"/>
      <c r="F6" s="50"/>
      <c r="G6" s="50"/>
    </row>
    <row r="7" spans="2:11" x14ac:dyDescent="0.2">
      <c r="C7" s="49">
        <f>Model!G2</f>
        <v>2023</v>
      </c>
      <c r="D7" s="49">
        <f>Model!H2</f>
        <v>2024</v>
      </c>
      <c r="E7" s="49">
        <f>Model!I2</f>
        <v>2025</v>
      </c>
      <c r="F7" s="49">
        <f>Model!J2</f>
        <v>2026</v>
      </c>
      <c r="G7" s="49">
        <f>Model!K2</f>
        <v>2027</v>
      </c>
      <c r="H7" s="2"/>
    </row>
    <row r="8" spans="2:11" x14ac:dyDescent="0.2">
      <c r="B8" s="31" t="s">
        <v>296</v>
      </c>
      <c r="C8" s="43">
        <f>Model!G3</f>
        <v>1</v>
      </c>
      <c r="D8" s="43">
        <f>Model!H3</f>
        <v>2</v>
      </c>
      <c r="E8" s="43">
        <f>Model!I3</f>
        <v>3</v>
      </c>
      <c r="F8" s="43">
        <f>Model!J3</f>
        <v>4</v>
      </c>
      <c r="G8" s="43">
        <f>Model!K3</f>
        <v>5</v>
      </c>
      <c r="H8" s="2"/>
    </row>
    <row r="9" spans="2:11" x14ac:dyDescent="0.2">
      <c r="B9" s="52" t="s">
        <v>300</v>
      </c>
      <c r="C9" s="43">
        <f>Model!G146</f>
        <v>2468717.6826196793</v>
      </c>
      <c r="D9" s="43">
        <f>Model!H146</f>
        <v>2635533.7081713146</v>
      </c>
      <c r="E9" s="43">
        <f>Model!I146</f>
        <v>2923466.9837718126</v>
      </c>
      <c r="F9" s="43">
        <f>Model!J146</f>
        <v>3238159.0999950808</v>
      </c>
      <c r="G9" s="43">
        <f>Model!K146</f>
        <v>3582470.568943298</v>
      </c>
      <c r="H9" s="2"/>
    </row>
    <row r="10" spans="2:11" x14ac:dyDescent="0.2">
      <c r="B10" s="51" t="s">
        <v>284</v>
      </c>
      <c r="C10" s="43">
        <f>C9/(1+$C$14)^C8</f>
        <v>2310054.1914995504</v>
      </c>
      <c r="D10" s="43">
        <f>D9/(1+$C$14)^D8</f>
        <v>2307650.6141810576</v>
      </c>
      <c r="E10" s="43">
        <f>E9/(1+$C$14)^E8</f>
        <v>2395247.6047152998</v>
      </c>
      <c r="F10" s="43">
        <f>F9/(1+$C$14)^F8</f>
        <v>2482567.9507238651</v>
      </c>
      <c r="G10" s="43">
        <f>G9/(1+$C$14)^G8</f>
        <v>2570018.993592191</v>
      </c>
    </row>
    <row r="13" spans="2:11" x14ac:dyDescent="0.2">
      <c r="B13" s="51" t="s">
        <v>288</v>
      </c>
      <c r="C13" s="43">
        <f>SUM(C10:G10)</f>
        <v>12065539.354711965</v>
      </c>
      <c r="E13" t="s">
        <v>302</v>
      </c>
    </row>
    <row r="14" spans="2:11" x14ac:dyDescent="0.2">
      <c r="B14" s="51" t="s">
        <v>282</v>
      </c>
      <c r="C14" s="54">
        <f>WACC!C20</f>
        <v>6.8683882700229598E-2</v>
      </c>
      <c r="G14" s="51"/>
      <c r="H14" s="51"/>
      <c r="I14" s="51" t="s">
        <v>285</v>
      </c>
      <c r="J14" s="51"/>
      <c r="K14" s="51"/>
    </row>
    <row r="15" spans="2:11" x14ac:dyDescent="0.2">
      <c r="B15" s="51" t="s">
        <v>285</v>
      </c>
      <c r="C15" s="55">
        <v>0.03</v>
      </c>
      <c r="F15" s="9">
        <f>C24</f>
        <v>49.215224643822154</v>
      </c>
      <c r="G15" s="60">
        <f>H15-0.5%</f>
        <v>1.9999999999999997E-2</v>
      </c>
      <c r="H15" s="60">
        <f>I15-0.5%</f>
        <v>2.4999999999999998E-2</v>
      </c>
      <c r="I15" s="61">
        <v>0.03</v>
      </c>
      <c r="J15" s="60">
        <f>I15+0.5%</f>
        <v>3.4999999999999996E-2</v>
      </c>
      <c r="K15" s="60">
        <f>J15+0.5%</f>
        <v>3.9999999999999994E-2</v>
      </c>
    </row>
    <row r="16" spans="2:11" x14ac:dyDescent="0.2">
      <c r="B16" s="51" t="s">
        <v>286</v>
      </c>
      <c r="C16" s="43">
        <f>G10*(1+C15)/C14-C15</f>
        <v>38540622.010155983</v>
      </c>
      <c r="E16" s="51"/>
      <c r="F16" s="61">
        <f>F17+0.005</f>
        <v>7.8992674223518813E-2</v>
      </c>
      <c r="G16">
        <f t="dataTable" ref="G16:K20" dt2D="1" dtr="1" r1="C15" r2="C14"/>
        <v>42.138841524463999</v>
      </c>
      <c r="H16">
        <v>42.256639637776239</v>
      </c>
      <c r="I16">
        <v>42.374437751088479</v>
      </c>
      <c r="J16">
        <v>42.492235864400726</v>
      </c>
      <c r="K16">
        <v>42.610033977712966</v>
      </c>
    </row>
    <row r="17" spans="2:11" x14ac:dyDescent="0.2">
      <c r="B17" s="52" t="s">
        <v>287</v>
      </c>
      <c r="C17" s="43">
        <f>C16/(1+C14)^G8</f>
        <v>27648553.891727969</v>
      </c>
      <c r="E17" s="51"/>
      <c r="F17" s="61">
        <f>F18+0.005</f>
        <v>7.3992674223518809E-2</v>
      </c>
      <c r="G17">
        <v>45.167721483598733</v>
      </c>
      <c r="H17">
        <v>45.299458614076862</v>
      </c>
      <c r="I17">
        <v>45.431195744555005</v>
      </c>
      <c r="J17">
        <v>45.562932875033134</v>
      </c>
      <c r="K17">
        <v>45.694670005511277</v>
      </c>
    </row>
    <row r="18" spans="2:11" x14ac:dyDescent="0.2">
      <c r="B18" s="51" t="s">
        <v>289</v>
      </c>
      <c r="C18" s="43">
        <f>SUM(C13,C17)</f>
        <v>39714093.246439934</v>
      </c>
      <c r="E18" s="51" t="s">
        <v>282</v>
      </c>
      <c r="F18" s="61">
        <v>6.8992674223518805E-2</v>
      </c>
      <c r="G18">
        <v>48.681596771721452</v>
      </c>
      <c r="H18">
        <v>48.829630216491843</v>
      </c>
      <c r="I18">
        <v>48.977663661262234</v>
      </c>
      <c r="J18">
        <v>49.125697106032639</v>
      </c>
      <c r="K18">
        <v>49.27373055080303</v>
      </c>
    </row>
    <row r="19" spans="2:11" x14ac:dyDescent="0.2">
      <c r="B19" s="51" t="s">
        <v>290</v>
      </c>
      <c r="C19" s="43">
        <f>Model!F30</f>
        <v>2201407.7090000045</v>
      </c>
      <c r="E19" s="51"/>
      <c r="F19" s="61">
        <f>F18-0.005</f>
        <v>6.39926742235188E-2</v>
      </c>
      <c r="G19">
        <v>52.797574127043823</v>
      </c>
      <c r="H19">
        <v>52.964834660770542</v>
      </c>
      <c r="I19">
        <v>53.132095194497246</v>
      </c>
      <c r="J19">
        <v>53.299355728223958</v>
      </c>
      <c r="K19">
        <v>53.466616261950676</v>
      </c>
    </row>
    <row r="20" spans="2:11" x14ac:dyDescent="0.2">
      <c r="B20" s="51" t="s">
        <v>311</v>
      </c>
      <c r="C20" s="43">
        <f>WACC!C5</f>
        <v>2378201.2239999999</v>
      </c>
      <c r="E20" s="51"/>
      <c r="F20" s="61">
        <f>F19-0.005</f>
        <v>5.8992674223518803E-2</v>
      </c>
      <c r="G20">
        <v>57.672716964470936</v>
      </c>
      <c r="H20">
        <v>57.862904685631591</v>
      </c>
      <c r="I20">
        <v>58.053092406792267</v>
      </c>
      <c r="J20">
        <v>58.243280127952929</v>
      </c>
      <c r="K20">
        <v>58.433467849113605</v>
      </c>
    </row>
    <row r="21" spans="2:11" ht="17" thickBot="1" x14ac:dyDescent="0.25">
      <c r="B21" s="53" t="s">
        <v>291</v>
      </c>
      <c r="C21" s="56"/>
    </row>
    <row r="22" spans="2:11" ht="17" thickTop="1" x14ac:dyDescent="0.2">
      <c r="B22" s="51" t="s">
        <v>292</v>
      </c>
      <c r="C22" s="43">
        <f>SUM(C18:C21)</f>
        <v>44293702.17943994</v>
      </c>
    </row>
    <row r="23" spans="2:11" x14ac:dyDescent="0.2">
      <c r="B23" s="51" t="s">
        <v>301</v>
      </c>
      <c r="C23" s="43">
        <f>Model!F78</f>
        <v>900000</v>
      </c>
    </row>
    <row r="24" spans="2:11" x14ac:dyDescent="0.2">
      <c r="B24" s="52" t="s">
        <v>293</v>
      </c>
      <c r="C24" s="57">
        <f>C22/C23</f>
        <v>49.215224643822154</v>
      </c>
    </row>
    <row r="26" spans="2:11" x14ac:dyDescent="0.2">
      <c r="C26" s="11"/>
    </row>
  </sheetData>
  <conditionalFormatting sqref="G16:K20">
    <cfRule type="colorScale" priority="1">
      <colorScale>
        <cfvo type="min"/>
        <cfvo type="max"/>
        <color theme="5" tint="0.79998168889431442"/>
        <color theme="9" tint="0.79998168889431442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4A68-1850-AC4A-A22A-40AF6BB719F3}">
  <dimension ref="A1:V95"/>
  <sheetViews>
    <sheetView showGridLines="0" topLeftCell="A8" zoomScaleNormal="100" workbookViewId="0">
      <selection activeCell="B33" sqref="B33"/>
    </sheetView>
  </sheetViews>
  <sheetFormatPr baseColWidth="10" defaultRowHeight="16" x14ac:dyDescent="0.2"/>
  <cols>
    <col min="1" max="1" width="40.1640625" style="27" bestFit="1" customWidth="1"/>
    <col min="2" max="2" width="11.83203125" style="27" bestFit="1" customWidth="1"/>
    <col min="3" max="3" width="49.83203125" style="27" customWidth="1"/>
    <col min="4" max="4" width="13.1640625" style="27" bestFit="1" customWidth="1"/>
    <col min="5" max="8" width="12.33203125" style="27" bestFit="1" customWidth="1"/>
    <col min="9" max="9" width="15.33203125" style="27" bestFit="1" customWidth="1"/>
    <col min="10" max="10" width="14.33203125" style="27" bestFit="1" customWidth="1"/>
    <col min="11" max="13" width="14.1640625" style="27" bestFit="1" customWidth="1"/>
    <col min="14" max="14" width="11.33203125" style="27" bestFit="1" customWidth="1"/>
    <col min="15" max="16384" width="10.83203125" style="27"/>
  </cols>
  <sheetData>
    <row r="1" spans="1:13" x14ac:dyDescent="0.2">
      <c r="A1" s="51"/>
      <c r="B1" s="51"/>
      <c r="C1" s="70"/>
      <c r="D1" s="51">
        <v>2018</v>
      </c>
      <c r="E1" s="51">
        <v>2019</v>
      </c>
      <c r="F1" s="51">
        <v>2020</v>
      </c>
      <c r="G1" s="51">
        <v>2021</v>
      </c>
      <c r="H1" s="51">
        <v>2022</v>
      </c>
      <c r="I1" s="62">
        <v>2023</v>
      </c>
      <c r="J1" s="62">
        <v>2024</v>
      </c>
      <c r="K1" s="62">
        <v>2025</v>
      </c>
      <c r="L1" s="62">
        <v>2026</v>
      </c>
      <c r="M1" s="62">
        <v>2027</v>
      </c>
    </row>
    <row r="2" spans="1:13" x14ac:dyDescent="0.2">
      <c r="A2"/>
      <c r="B2"/>
      <c r="C2" s="71"/>
      <c r="I2" s="22"/>
      <c r="J2" s="22"/>
      <c r="K2" s="22"/>
      <c r="L2" s="22"/>
      <c r="M2" s="22"/>
    </row>
    <row r="3" spans="1:13" x14ac:dyDescent="0.2">
      <c r="A3" t="s">
        <v>158</v>
      </c>
      <c r="B3" s="19">
        <v>0.1</v>
      </c>
      <c r="C3" s="71" t="s">
        <v>207</v>
      </c>
      <c r="D3" s="6" t="s">
        <v>211</v>
      </c>
      <c r="E3" s="28">
        <f>Model!C6/Model!B6-1</f>
        <v>0.16359490876441773</v>
      </c>
      <c r="F3" s="28">
        <f>Model!D6/Model!C6-1</f>
        <v>-4.7153780533606526E-2</v>
      </c>
      <c r="G3" s="28">
        <f>Model!E6/Model!D6-1</f>
        <v>7.7827453336843933E-2</v>
      </c>
      <c r="H3" s="29">
        <f>Model!F6/Model!E6-1</f>
        <v>0.42262751855573955</v>
      </c>
      <c r="I3" s="11">
        <f>$B$3</f>
        <v>0.1</v>
      </c>
      <c r="J3" s="11">
        <f t="shared" ref="J3:M3" si="0">$B$3</f>
        <v>0.1</v>
      </c>
      <c r="K3" s="11">
        <f t="shared" si="0"/>
        <v>0.1</v>
      </c>
      <c r="L3" s="11">
        <f t="shared" si="0"/>
        <v>0.1</v>
      </c>
      <c r="M3" s="11">
        <f t="shared" si="0"/>
        <v>0.1</v>
      </c>
    </row>
    <row r="4" spans="1:13" x14ac:dyDescent="0.2">
      <c r="A4" t="s">
        <v>209</v>
      </c>
      <c r="B4" s="20">
        <v>0</v>
      </c>
      <c r="C4" s="71"/>
      <c r="D4" s="6">
        <f>Model!B7-Model!B19</f>
        <v>-263957.69099999999</v>
      </c>
      <c r="E4" s="6">
        <f>Model!C7-Model!C19</f>
        <v>450286.951</v>
      </c>
      <c r="F4" s="6">
        <f>Model!D7-Model!D19</f>
        <v>-267602.59000000003</v>
      </c>
      <c r="G4" s="6">
        <f>Model!E7-Model!E19</f>
        <v>1243.596</v>
      </c>
      <c r="H4" s="6">
        <f>Model!F7-Model!F19</f>
        <v>351774.15700000001</v>
      </c>
      <c r="I4" s="22">
        <f>$B$4</f>
        <v>0</v>
      </c>
      <c r="J4" s="22">
        <f t="shared" ref="J4:M4" si="1">$B$4</f>
        <v>0</v>
      </c>
      <c r="K4" s="22">
        <f t="shared" si="1"/>
        <v>0</v>
      </c>
      <c r="L4" s="22">
        <f t="shared" si="1"/>
        <v>0</v>
      </c>
      <c r="M4" s="22">
        <f t="shared" si="1"/>
        <v>0</v>
      </c>
    </row>
    <row r="5" spans="1:13" x14ac:dyDescent="0.2">
      <c r="A5" t="s">
        <v>210</v>
      </c>
      <c r="B5" s="20">
        <v>0</v>
      </c>
      <c r="C5" s="71"/>
      <c r="D5" s="6">
        <f>Model!B8-Model!B20</f>
        <v>0</v>
      </c>
      <c r="E5" s="6">
        <f>Model!C8-Model!C20</f>
        <v>0</v>
      </c>
      <c r="F5" s="6">
        <f>Model!D8-Model!D20</f>
        <v>-43493.822999999997</v>
      </c>
      <c r="G5" s="6">
        <f>Model!E8-Model!E20</f>
        <v>12067.647000000001</v>
      </c>
      <c r="H5" s="6">
        <f>Model!F8-Model!F20</f>
        <v>-23783.124</v>
      </c>
      <c r="I5" s="22">
        <f>$B$5</f>
        <v>0</v>
      </c>
      <c r="J5" s="22">
        <f t="shared" ref="J5:M5" si="2">$B$5</f>
        <v>0</v>
      </c>
      <c r="K5" s="22">
        <f t="shared" si="2"/>
        <v>0</v>
      </c>
      <c r="L5" s="22">
        <f t="shared" si="2"/>
        <v>0</v>
      </c>
      <c r="M5" s="22">
        <f t="shared" si="2"/>
        <v>0</v>
      </c>
    </row>
    <row r="6" spans="1:13" x14ac:dyDescent="0.2">
      <c r="A6"/>
      <c r="B6"/>
      <c r="C6" s="71"/>
      <c r="I6" s="11"/>
      <c r="J6" s="11"/>
      <c r="K6" s="11"/>
      <c r="L6" s="11"/>
      <c r="M6" s="11"/>
    </row>
    <row r="7" spans="1:13" x14ac:dyDescent="0.2">
      <c r="A7"/>
      <c r="B7"/>
      <c r="C7" s="71"/>
      <c r="I7" s="11"/>
      <c r="J7" s="11"/>
      <c r="K7" s="11"/>
      <c r="L7" s="11"/>
      <c r="M7" s="11"/>
    </row>
    <row r="8" spans="1:13" x14ac:dyDescent="0.2">
      <c r="A8" t="s">
        <v>212</v>
      </c>
      <c r="B8" s="19">
        <f>AVERAGE(D8:H8)</f>
        <v>0.25221548381977044</v>
      </c>
      <c r="C8" s="71"/>
      <c r="D8" s="28">
        <f>1-(Model!B12/Model!B6)</f>
        <v>0.20934835912946614</v>
      </c>
      <c r="E8" s="28">
        <f>1-(Model!C12/Model!C6)</f>
        <v>0.21721503676337939</v>
      </c>
      <c r="F8" s="28">
        <f>1-(Model!D12/Model!D6)</f>
        <v>0.2335490214055872</v>
      </c>
      <c r="G8" s="28">
        <f>1-(Model!E12/Model!E6)</f>
        <v>0.31108268869339639</v>
      </c>
      <c r="H8" s="29">
        <f>1-(Model!F12/Model!F6)</f>
        <v>0.28988231310702328</v>
      </c>
      <c r="I8" s="11">
        <f>$B$8</f>
        <v>0.25221548381977044</v>
      </c>
      <c r="J8" s="11">
        <f t="shared" ref="J8:M8" si="3">$B$8</f>
        <v>0.25221548381977044</v>
      </c>
      <c r="K8" s="11">
        <f t="shared" si="3"/>
        <v>0.25221548381977044</v>
      </c>
      <c r="L8" s="11">
        <f t="shared" si="3"/>
        <v>0.25221548381977044</v>
      </c>
      <c r="M8" s="11">
        <f t="shared" si="3"/>
        <v>0.25221548381977044</v>
      </c>
    </row>
    <row r="9" spans="1:13" x14ac:dyDescent="0.2">
      <c r="A9" t="s">
        <v>213</v>
      </c>
      <c r="B9" s="19">
        <f>AVERAGE(D9:H9)</f>
        <v>6.4942581312697589E-2</v>
      </c>
      <c r="C9" s="72"/>
      <c r="D9" s="28">
        <f>Model!B13/Model!B6</f>
        <v>5.955222910023765E-2</v>
      </c>
      <c r="E9" s="28">
        <f>Model!C13/Model!C6</f>
        <v>5.6006258397798644E-2</v>
      </c>
      <c r="F9" s="28">
        <f>Model!D13/Model!D6</f>
        <v>5.4204287329171992E-2</v>
      </c>
      <c r="G9" s="28">
        <f>Model!E13/Model!E6</f>
        <v>6.4107402625994264E-2</v>
      </c>
      <c r="H9" s="29">
        <f>Model!F13/Model!F6</f>
        <v>9.0842729110285431E-2</v>
      </c>
      <c r="I9" s="11">
        <f>$B$9</f>
        <v>6.4942581312697589E-2</v>
      </c>
      <c r="J9" s="11">
        <f t="shared" ref="J9:M9" si="4">$B$9</f>
        <v>6.4942581312697589E-2</v>
      </c>
      <c r="K9" s="11">
        <f t="shared" si="4"/>
        <v>6.4942581312697589E-2</v>
      </c>
      <c r="L9" s="11">
        <f t="shared" si="4"/>
        <v>6.4942581312697589E-2</v>
      </c>
      <c r="M9" s="11">
        <f t="shared" si="4"/>
        <v>6.4942581312697589E-2</v>
      </c>
    </row>
    <row r="10" spans="1:13" x14ac:dyDescent="0.2">
      <c r="A10" t="s">
        <v>214</v>
      </c>
      <c r="B10" s="19">
        <f>AVERAGE(D10:H10)</f>
        <v>2.9542046601157761E-2</v>
      </c>
      <c r="C10" s="71"/>
      <c r="D10" s="28">
        <f>Model!B14/Model!B6</f>
        <v>2.8279739004850892E-2</v>
      </c>
      <c r="E10" s="28">
        <f>Model!C14/Model!C6</f>
        <v>2.7747713703112551E-2</v>
      </c>
      <c r="F10" s="28">
        <f>Model!D14/Model!D6</f>
        <v>3.3179229780358095E-2</v>
      </c>
      <c r="G10" s="28">
        <f>Model!E14/Model!E6</f>
        <v>3.3497825832360127E-2</v>
      </c>
      <c r="H10" s="29">
        <f>Model!F14/Model!F6</f>
        <v>2.5005724685107148E-2</v>
      </c>
      <c r="I10" s="11">
        <f>$B$10</f>
        <v>2.9542046601157761E-2</v>
      </c>
      <c r="J10" s="11">
        <f t="shared" ref="J10:M10" si="5">$B$10</f>
        <v>2.9542046601157761E-2</v>
      </c>
      <c r="K10" s="11">
        <f t="shared" si="5"/>
        <v>2.9542046601157761E-2</v>
      </c>
      <c r="L10" s="11">
        <f t="shared" si="5"/>
        <v>2.9542046601157761E-2</v>
      </c>
      <c r="M10" s="11">
        <f t="shared" si="5"/>
        <v>2.9542046601157761E-2</v>
      </c>
    </row>
    <row r="11" spans="1:13" x14ac:dyDescent="0.2">
      <c r="A11" t="s">
        <v>215</v>
      </c>
      <c r="B11"/>
      <c r="C11" s="71" t="s">
        <v>297</v>
      </c>
      <c r="D11" s="6"/>
      <c r="E11" s="6"/>
      <c r="F11" s="6"/>
      <c r="G11" s="6"/>
      <c r="H11" s="6"/>
      <c r="I11" s="22">
        <f>AVERAGE(Model!G142,Model!G143)</f>
        <v>2173590.6271337448</v>
      </c>
      <c r="J11" s="22">
        <f>AVERAGE(Model!H142,Model!H143)</f>
        <v>2884618.8856488415</v>
      </c>
      <c r="K11" s="22">
        <f>AVERAGE(Model!I142,Model!I143)</f>
        <v>4380287.5381184854</v>
      </c>
      <c r="L11" s="22">
        <f>AVERAGE(Model!J142,Model!J143)</f>
        <v>5811487.5815490177</v>
      </c>
      <c r="M11" s="22">
        <f>AVERAGE(Model!K142,Model!K143)</f>
        <v>7237926.4968420872</v>
      </c>
    </row>
    <row r="12" spans="1:13" x14ac:dyDescent="0.2">
      <c r="A12" t="s">
        <v>216</v>
      </c>
      <c r="B12" s="19">
        <v>0.01</v>
      </c>
      <c r="C12" s="71" t="s">
        <v>217</v>
      </c>
      <c r="D12" s="68">
        <f>Model!B23</f>
        <v>0</v>
      </c>
      <c r="E12" s="68">
        <f>Model!C23</f>
        <v>0</v>
      </c>
      <c r="F12" s="68">
        <f>Model!D23</f>
        <v>10672.365</v>
      </c>
      <c r="G12" s="68">
        <f>Model!E23</f>
        <v>23445.201000000001</v>
      </c>
      <c r="H12" s="68">
        <f>Model!F23</f>
        <v>19899.239000000001</v>
      </c>
      <c r="I12" s="23">
        <f>$B$12*I11</f>
        <v>21735.906271337448</v>
      </c>
      <c r="J12" s="23">
        <f>$B$12*J11</f>
        <v>28846.188856488414</v>
      </c>
      <c r="K12" s="23">
        <f t="shared" ref="K12:M12" si="6">$B$12*K11</f>
        <v>43802.875381184851</v>
      </c>
      <c r="L12" s="23">
        <f t="shared" si="6"/>
        <v>58114.875815490181</v>
      </c>
      <c r="M12" s="23">
        <f t="shared" si="6"/>
        <v>72379.264968420874</v>
      </c>
    </row>
    <row r="13" spans="1:13" x14ac:dyDescent="0.2">
      <c r="A13" t="s">
        <v>218</v>
      </c>
      <c r="B13" s="20">
        <v>0</v>
      </c>
      <c r="C13" s="71"/>
      <c r="D13" s="6">
        <f>Model!B31</f>
        <v>4500</v>
      </c>
      <c r="E13" s="6">
        <f>Model!C31</f>
        <v>13177.907999999999</v>
      </c>
      <c r="F13" s="6">
        <f>Model!D31</f>
        <v>0</v>
      </c>
      <c r="G13" s="6">
        <f>Model!E31</f>
        <v>0</v>
      </c>
      <c r="H13" s="6">
        <f>Model!F31</f>
        <v>0</v>
      </c>
      <c r="I13" s="22">
        <f>$B$13</f>
        <v>0</v>
      </c>
      <c r="J13" s="22">
        <f t="shared" ref="J13:M13" si="7">$B$13</f>
        <v>0</v>
      </c>
      <c r="K13" s="22">
        <f t="shared" si="7"/>
        <v>0</v>
      </c>
      <c r="L13" s="22">
        <f t="shared" si="7"/>
        <v>0</v>
      </c>
      <c r="M13" s="22">
        <f t="shared" si="7"/>
        <v>0</v>
      </c>
    </row>
    <row r="14" spans="1:13" x14ac:dyDescent="0.2">
      <c r="A14" t="s">
        <v>219</v>
      </c>
      <c r="B14" s="20">
        <v>0</v>
      </c>
      <c r="C14" s="71"/>
      <c r="D14" s="6">
        <f>Model!B41</f>
        <v>0</v>
      </c>
      <c r="E14" s="6">
        <f>Model!C41</f>
        <v>0</v>
      </c>
      <c r="F14" s="6">
        <f>Model!D41</f>
        <v>0</v>
      </c>
      <c r="G14" s="6">
        <f>Model!E41</f>
        <v>0</v>
      </c>
      <c r="H14" s="6">
        <f>Model!F41</f>
        <v>0</v>
      </c>
      <c r="I14" s="22">
        <f>$B$14</f>
        <v>0</v>
      </c>
      <c r="J14" s="22">
        <f t="shared" ref="J14:M14" si="8">$B$14</f>
        <v>0</v>
      </c>
      <c r="K14" s="22">
        <f t="shared" si="8"/>
        <v>0</v>
      </c>
      <c r="L14" s="22">
        <f t="shared" si="8"/>
        <v>0</v>
      </c>
      <c r="M14" s="22">
        <f t="shared" si="8"/>
        <v>0</v>
      </c>
    </row>
    <row r="15" spans="1:13" x14ac:dyDescent="0.2">
      <c r="A15" t="s">
        <v>34</v>
      </c>
      <c r="B15" s="7">
        <f>D15</f>
        <v>3164.328</v>
      </c>
      <c r="C15" s="71" t="s">
        <v>299</v>
      </c>
      <c r="D15" s="6">
        <f>Model!B44</f>
        <v>3164.328</v>
      </c>
      <c r="E15" s="6">
        <f>Model!C44</f>
        <v>3164.328</v>
      </c>
      <c r="F15" s="6">
        <f>Model!D44</f>
        <v>3164.328</v>
      </c>
      <c r="G15" s="6">
        <f>Model!E44</f>
        <v>3164.328</v>
      </c>
      <c r="H15" s="6">
        <f>Model!F44</f>
        <v>3164.328</v>
      </c>
      <c r="I15" s="22">
        <f>$B$15</f>
        <v>3164.328</v>
      </c>
      <c r="J15" s="22">
        <f t="shared" ref="J15:M15" si="9">$B$15</f>
        <v>3164.328</v>
      </c>
      <c r="K15" s="22">
        <f t="shared" si="9"/>
        <v>3164.328</v>
      </c>
      <c r="L15" s="22">
        <f t="shared" si="9"/>
        <v>3164.328</v>
      </c>
      <c r="M15" s="22">
        <f t="shared" si="9"/>
        <v>3164.328</v>
      </c>
    </row>
    <row r="16" spans="1:13" x14ac:dyDescent="0.2">
      <c r="A16" t="s">
        <v>220</v>
      </c>
      <c r="B16" s="20">
        <v>0</v>
      </c>
      <c r="C16" s="71"/>
      <c r="D16" s="6">
        <f>Model!B45</f>
        <v>3248.875</v>
      </c>
      <c r="E16" s="6">
        <f>Model!C45</f>
        <v>2234.3159999999998</v>
      </c>
      <c r="F16" s="6">
        <f>Model!D45</f>
        <v>1306.74</v>
      </c>
      <c r="G16" s="6">
        <f>Model!E45</f>
        <v>531.20299999999997</v>
      </c>
      <c r="H16" s="6">
        <f>Model!F45</f>
        <v>153.86699999999999</v>
      </c>
      <c r="I16" s="22">
        <f>$B$16</f>
        <v>0</v>
      </c>
      <c r="J16" s="22">
        <f t="shared" ref="J16:M16" si="10">$B$16</f>
        <v>0</v>
      </c>
      <c r="K16" s="22">
        <f t="shared" si="10"/>
        <v>0</v>
      </c>
      <c r="L16" s="22">
        <f t="shared" si="10"/>
        <v>0</v>
      </c>
      <c r="M16" s="22">
        <f t="shared" si="10"/>
        <v>0</v>
      </c>
    </row>
    <row r="17" spans="1:13" x14ac:dyDescent="0.2">
      <c r="A17"/>
      <c r="B17" s="7"/>
      <c r="C17" s="71"/>
      <c r="D17" s="6"/>
      <c r="E17" s="6"/>
      <c r="F17" s="6"/>
      <c r="G17" s="6"/>
      <c r="H17" s="6"/>
      <c r="I17" s="22"/>
      <c r="J17" s="22"/>
      <c r="K17" s="22"/>
      <c r="L17" s="22"/>
      <c r="M17" s="22"/>
    </row>
    <row r="18" spans="1:13" x14ac:dyDescent="0.2">
      <c r="A18" t="s">
        <v>303</v>
      </c>
      <c r="B18" s="7"/>
      <c r="C18" s="71"/>
      <c r="D18" s="6"/>
      <c r="E18" s="6"/>
      <c r="F18" s="6"/>
      <c r="G18" s="6"/>
      <c r="H18" s="6"/>
      <c r="I18" s="22"/>
      <c r="J18" s="22"/>
      <c r="K18" s="22"/>
      <c r="L18" s="22"/>
      <c r="M18" s="22"/>
    </row>
    <row r="19" spans="1:13" x14ac:dyDescent="0.2">
      <c r="A19" t="s">
        <v>304</v>
      </c>
      <c r="B19" s="19">
        <f>$B$3</f>
        <v>0.1</v>
      </c>
      <c r="C19" s="71" t="s">
        <v>227</v>
      </c>
      <c r="D19" s="6">
        <f>Model!B32</f>
        <v>1999596.7350000001</v>
      </c>
      <c r="E19" s="6">
        <f>Model!C32</f>
        <v>2119815.66</v>
      </c>
      <c r="F19" s="6">
        <f>Model!D32</f>
        <v>2411111.949</v>
      </c>
      <c r="G19" s="6">
        <f>Model!E32</f>
        <v>2267684.449</v>
      </c>
      <c r="H19" s="6">
        <f>Model!F32</f>
        <v>4035308.6340000001</v>
      </c>
      <c r="I19" s="22">
        <f>H19*(1+$B19)</f>
        <v>4438839.4974000007</v>
      </c>
      <c r="J19" s="22">
        <f t="shared" ref="J19:M19" si="11">I19*(1+$B19)</f>
        <v>4882723.4471400008</v>
      </c>
      <c r="K19" s="22">
        <f t="shared" si="11"/>
        <v>5370995.7918540016</v>
      </c>
      <c r="L19" s="22">
        <f t="shared" si="11"/>
        <v>5908095.3710394027</v>
      </c>
      <c r="M19" s="22">
        <f t="shared" si="11"/>
        <v>6498904.9081433434</v>
      </c>
    </row>
    <row r="20" spans="1:13" x14ac:dyDescent="0.2">
      <c r="A20" t="s">
        <v>305</v>
      </c>
      <c r="B20" s="19">
        <f t="shared" ref="B20:B21" si="12">$B$3</f>
        <v>0.1</v>
      </c>
      <c r="C20" s="71" t="s">
        <v>227</v>
      </c>
      <c r="D20" s="6">
        <f>Model!B33</f>
        <v>2112063.9670000002</v>
      </c>
      <c r="E20" s="6">
        <f>Model!C33</f>
        <v>2338039.7620000001</v>
      </c>
      <c r="F20" s="6">
        <f>Model!D33</f>
        <v>2353854.227</v>
      </c>
      <c r="G20" s="6">
        <f>Model!E33</f>
        <v>2887121.3089999999</v>
      </c>
      <c r="H20" s="6">
        <f>Model!F33</f>
        <v>5043353.2709999997</v>
      </c>
      <c r="I20" s="22">
        <f>H20*(1+$B20)</f>
        <v>5547688.5981000001</v>
      </c>
      <c r="J20" s="22">
        <f t="shared" ref="J20:M20" si="13">I20*(1+$B20)</f>
        <v>6102457.4579100003</v>
      </c>
      <c r="K20" s="22">
        <f t="shared" si="13"/>
        <v>6712703.2037010007</v>
      </c>
      <c r="L20" s="22">
        <f t="shared" si="13"/>
        <v>7383973.5240711011</v>
      </c>
      <c r="M20" s="22">
        <f t="shared" si="13"/>
        <v>8122370.876478212</v>
      </c>
    </row>
    <row r="21" spans="1:13" x14ac:dyDescent="0.2">
      <c r="A21" t="s">
        <v>306</v>
      </c>
      <c r="B21" s="19">
        <f t="shared" si="12"/>
        <v>0.1</v>
      </c>
      <c r="C21" s="71" t="s">
        <v>227</v>
      </c>
      <c r="D21" s="6">
        <f>Model!B55</f>
        <v>1136827.111</v>
      </c>
      <c r="E21" s="6">
        <f>Model!C55</f>
        <v>1146891.727</v>
      </c>
      <c r="F21" s="6">
        <f>Model!D55</f>
        <v>1185815.051</v>
      </c>
      <c r="G21" s="6">
        <f>Model!E55</f>
        <v>1410186.774</v>
      </c>
      <c r="H21" s="6">
        <f>Model!F55</f>
        <v>2210212.139</v>
      </c>
      <c r="I21" s="22">
        <f>H21*(1+$B21)</f>
        <v>2431233.3529000003</v>
      </c>
      <c r="J21" s="22">
        <f t="shared" ref="J21:M21" si="14">I21*(1+$B21)</f>
        <v>2674356.6881900006</v>
      </c>
      <c r="K21" s="22">
        <f t="shared" si="14"/>
        <v>2941792.3570090011</v>
      </c>
      <c r="L21" s="22">
        <f t="shared" si="14"/>
        <v>3235971.5927099013</v>
      </c>
      <c r="M21" s="22">
        <f t="shared" si="14"/>
        <v>3559568.7519808919</v>
      </c>
    </row>
    <row r="22" spans="1:13" x14ac:dyDescent="0.2">
      <c r="A22"/>
      <c r="B22" s="7"/>
      <c r="C22" s="71"/>
      <c r="D22" s="6"/>
      <c r="E22" s="6"/>
      <c r="F22" s="6"/>
      <c r="G22" s="6"/>
      <c r="H22" s="6"/>
      <c r="I22" s="22"/>
      <c r="J22" s="22"/>
      <c r="K22" s="22"/>
      <c r="L22" s="22"/>
      <c r="M22" s="22"/>
    </row>
    <row r="23" spans="1:13" x14ac:dyDescent="0.2">
      <c r="A23"/>
      <c r="B23" s="7"/>
      <c r="C23" s="71"/>
      <c r="D23" s="6"/>
      <c r="E23" s="6"/>
      <c r="F23" s="6"/>
      <c r="G23" s="6"/>
      <c r="H23" s="6"/>
      <c r="I23" s="22"/>
      <c r="J23" s="22"/>
      <c r="K23" s="22"/>
      <c r="L23" s="22"/>
      <c r="M23" s="22"/>
    </row>
    <row r="24" spans="1:13" x14ac:dyDescent="0.2">
      <c r="A24"/>
      <c r="B24" s="7"/>
      <c r="C24" s="71"/>
      <c r="D24" s="6"/>
      <c r="E24" s="6"/>
      <c r="F24" s="6"/>
      <c r="G24" s="6"/>
      <c r="H24" s="6"/>
      <c r="I24" s="22"/>
      <c r="J24" s="22"/>
      <c r="K24" s="22"/>
      <c r="L24" s="22"/>
      <c r="M24" s="22"/>
    </row>
    <row r="25" spans="1:13" x14ac:dyDescent="0.2">
      <c r="A25"/>
      <c r="B25" s="7"/>
      <c r="C25" s="71"/>
      <c r="D25" s="6"/>
      <c r="E25" s="6"/>
      <c r="F25" s="6"/>
      <c r="G25" s="6"/>
      <c r="H25" s="6"/>
      <c r="I25" s="22"/>
      <c r="J25" s="22"/>
      <c r="K25" s="22"/>
      <c r="L25" s="22"/>
      <c r="M25" s="22"/>
    </row>
    <row r="26" spans="1:13" x14ac:dyDescent="0.2">
      <c r="A26"/>
      <c r="B26" s="7"/>
      <c r="C26" s="71"/>
      <c r="D26" s="6"/>
      <c r="E26" s="6"/>
      <c r="F26" s="6"/>
      <c r="G26" s="6"/>
      <c r="H26" s="6"/>
      <c r="I26" s="22"/>
      <c r="J26" s="22"/>
      <c r="K26" s="22"/>
      <c r="L26" s="22"/>
      <c r="M26" s="22"/>
    </row>
    <row r="27" spans="1:13" x14ac:dyDescent="0.2">
      <c r="A27" t="s">
        <v>226</v>
      </c>
      <c r="B27" s="19">
        <f>AVERAGE(E27:H27)</f>
        <v>0.13506590493607581</v>
      </c>
      <c r="C27" s="71" t="s">
        <v>227</v>
      </c>
      <c r="D27" s="28" t="s">
        <v>211</v>
      </c>
      <c r="E27" s="28">
        <f>1-Model!B68/Model!C68</f>
        <v>0.23767408906442256</v>
      </c>
      <c r="F27" s="28">
        <f>1-Model!C68/Model!D68</f>
        <v>0.28249241403218639</v>
      </c>
      <c r="G27" s="28">
        <f>1-Model!D68/Model!E68</f>
        <v>-5.527687907652834E-2</v>
      </c>
      <c r="H27" s="29">
        <f>1-Model!E68/Model!F68</f>
        <v>7.5373995724222653E-2</v>
      </c>
      <c r="I27" s="11">
        <f>$B$27</f>
        <v>0.13506590493607581</v>
      </c>
      <c r="J27" s="11">
        <f>$B$27</f>
        <v>0.13506590493607581</v>
      </c>
      <c r="K27" s="11">
        <f>$B$27</f>
        <v>0.13506590493607581</v>
      </c>
      <c r="L27" s="11">
        <f>$B$27</f>
        <v>0.13506590493607581</v>
      </c>
      <c r="M27" s="11">
        <f>$B$27</f>
        <v>0.13506590493607581</v>
      </c>
    </row>
    <row r="28" spans="1:13" x14ac:dyDescent="0.2">
      <c r="A28" t="s">
        <v>228</v>
      </c>
      <c r="B28" s="7">
        <f>AVERAGE(D28:H28)</f>
        <v>-1009864.2806000002</v>
      </c>
      <c r="C28" s="71"/>
      <c r="D28" s="6">
        <f>Model!B85</f>
        <v>-700603.08700000006</v>
      </c>
      <c r="E28" s="6">
        <f>Model!C85</f>
        <v>-1338186.2350000001</v>
      </c>
      <c r="F28" s="6">
        <f>Model!D85</f>
        <v>-1207430.2620000001</v>
      </c>
      <c r="G28" s="6">
        <f>Model!E85</f>
        <v>-1042999.117</v>
      </c>
      <c r="H28" s="6">
        <f>Model!F85</f>
        <v>-760102.70200000005</v>
      </c>
      <c r="I28" s="22">
        <f>$B$28</f>
        <v>-1009864.2806000002</v>
      </c>
      <c r="J28" s="22">
        <f>$B$28</f>
        <v>-1009864.2806000002</v>
      </c>
      <c r="K28" s="22">
        <f>$B$28</f>
        <v>-1009864.2806000002</v>
      </c>
      <c r="L28" s="22">
        <f>$B$28</f>
        <v>-1009864.2806000002</v>
      </c>
      <c r="M28" s="22">
        <f>$B$28</f>
        <v>-1009864.2806000002</v>
      </c>
    </row>
    <row r="29" spans="1:13" x14ac:dyDescent="0.2">
      <c r="A29"/>
      <c r="B29"/>
      <c r="C29" s="71"/>
      <c r="I29"/>
      <c r="J29"/>
      <c r="K29"/>
      <c r="L29"/>
      <c r="M29"/>
    </row>
    <row r="30" spans="1:13" x14ac:dyDescent="0.2">
      <c r="A30"/>
      <c r="B30"/>
      <c r="C30" s="71"/>
      <c r="I30"/>
      <c r="J30"/>
      <c r="K30"/>
      <c r="L30"/>
      <c r="M30"/>
    </row>
    <row r="31" spans="1:13" x14ac:dyDescent="0.2">
      <c r="A31" s="3" t="s">
        <v>221</v>
      </c>
      <c r="B31" s="20"/>
      <c r="C31" s="71"/>
      <c r="I31" s="22"/>
      <c r="J31" s="22"/>
      <c r="K31" s="22"/>
      <c r="L31" s="22"/>
      <c r="M31" s="22"/>
    </row>
    <row r="32" spans="1:13" x14ac:dyDescent="0.2">
      <c r="A32" t="s">
        <v>222</v>
      </c>
      <c r="B32" s="19">
        <v>0.2</v>
      </c>
      <c r="C32" s="71" t="s">
        <v>224</v>
      </c>
      <c r="D32" s="28">
        <f>Model!B25/(Model!B22+Model!B23+Model!B24)</f>
        <v>-2.5194415576451894E-2</v>
      </c>
      <c r="E32" s="28">
        <f>Model!C25/(Model!C22+Model!C23+Model!C24)</f>
        <v>-1.7393597248700616E-2</v>
      </c>
      <c r="F32" s="28">
        <f>Model!D25/(Model!D22+Model!D23+Model!D24)</f>
        <v>-0.12308186889796573</v>
      </c>
      <c r="G32" s="28">
        <f>Model!E25/(Model!E22+Model!E23+Model!E24)</f>
        <v>-8.3459462861300793E-2</v>
      </c>
      <c r="H32" s="28">
        <f>Model!F25/(Model!F22+Model!F23+Model!F24)</f>
        <v>-0.1251874016118853</v>
      </c>
      <c r="I32" s="11">
        <f>$B$32*-1</f>
        <v>-0.2</v>
      </c>
      <c r="J32" s="11">
        <f t="shared" ref="J32:M32" si="15">$B$32*-1</f>
        <v>-0.2</v>
      </c>
      <c r="K32" s="11">
        <f t="shared" si="15"/>
        <v>-0.2</v>
      </c>
      <c r="L32" s="11">
        <f t="shared" si="15"/>
        <v>-0.2</v>
      </c>
      <c r="M32" s="11">
        <f t="shared" si="15"/>
        <v>-0.2</v>
      </c>
    </row>
    <row r="33" spans="1:22" x14ac:dyDescent="0.2">
      <c r="A33" t="s">
        <v>223</v>
      </c>
      <c r="B33" s="26">
        <v>-0.1</v>
      </c>
      <c r="C33" s="71" t="s">
        <v>225</v>
      </c>
      <c r="D33" s="28">
        <f>Model!B43/Model!B25</f>
        <v>-4.851205094858698</v>
      </c>
      <c r="E33" s="28">
        <f>Model!C43/Model!C25</f>
        <v>-3.6369174002047377</v>
      </c>
      <c r="F33" s="28">
        <f>Model!D43/Model!D25</f>
        <v>-0.30182126998541697</v>
      </c>
      <c r="G33" s="28">
        <f>Model!E43/Model!E25</f>
        <v>-5.8969040259482193E-2</v>
      </c>
      <c r="H33" s="29">
        <f>Model!F43/Model!F25</f>
        <v>-0.14449059557661256</v>
      </c>
      <c r="I33" s="11">
        <f>$B$33</f>
        <v>-0.1</v>
      </c>
      <c r="J33" s="11">
        <f>$B$33</f>
        <v>-0.1</v>
      </c>
      <c r="K33" s="11">
        <f>$B$33</f>
        <v>-0.1</v>
      </c>
      <c r="L33" s="11">
        <f>$B$33</f>
        <v>-0.1</v>
      </c>
      <c r="M33" s="11">
        <f>$B$33</f>
        <v>-0.1</v>
      </c>
    </row>
    <row r="34" spans="1:22" x14ac:dyDescent="0.2">
      <c r="A34"/>
      <c r="B34" s="20"/>
      <c r="C34" s="71"/>
      <c r="I34" s="22"/>
      <c r="J34" s="22"/>
      <c r="K34" s="22"/>
      <c r="L34" s="22"/>
      <c r="M34" s="22"/>
    </row>
    <row r="35" spans="1:22" x14ac:dyDescent="0.2">
      <c r="A35" t="s">
        <v>229</v>
      </c>
      <c r="B35" s="26">
        <v>0.1</v>
      </c>
      <c r="C35" s="71" t="s">
        <v>230</v>
      </c>
      <c r="D35" s="6">
        <f>Model!B87</f>
        <v>25229.84</v>
      </c>
      <c r="E35" s="6">
        <f>Model!C87</f>
        <v>31621.777999999998</v>
      </c>
      <c r="F35" s="6">
        <f>Model!D87</f>
        <v>34446.807999999997</v>
      </c>
      <c r="G35" s="6">
        <f>Model!E87</f>
        <v>61995.294000000002</v>
      </c>
      <c r="H35" s="6">
        <f>Model!F87</f>
        <v>94572.331000000006</v>
      </c>
      <c r="I35" s="22">
        <f>H35*(1+$B$35)</f>
        <v>104029.56410000002</v>
      </c>
      <c r="J35" s="22">
        <f t="shared" ref="J35:M35" si="16">I35*(1+$B$35)</f>
        <v>114432.52051000003</v>
      </c>
      <c r="K35" s="22">
        <f t="shared" si="16"/>
        <v>125875.77256100005</v>
      </c>
      <c r="L35" s="22">
        <f t="shared" si="16"/>
        <v>138463.34981710007</v>
      </c>
      <c r="M35" s="22">
        <f t="shared" si="16"/>
        <v>152309.68479881008</v>
      </c>
    </row>
    <row r="36" spans="1:22" x14ac:dyDescent="0.2">
      <c r="A36"/>
      <c r="B36" s="20"/>
      <c r="C36" s="71"/>
      <c r="E36" s="28"/>
      <c r="F36" s="28"/>
      <c r="G36" s="28"/>
      <c r="H36" s="29"/>
      <c r="I36"/>
      <c r="J36"/>
      <c r="K36"/>
      <c r="L36"/>
      <c r="M36"/>
    </row>
    <row r="37" spans="1:22" x14ac:dyDescent="0.2">
      <c r="A37"/>
      <c r="B37" s="20"/>
      <c r="C37" s="71"/>
      <c r="I37"/>
      <c r="J37"/>
      <c r="K37"/>
      <c r="L37"/>
      <c r="M37"/>
    </row>
    <row r="38" spans="1:22" x14ac:dyDescent="0.2">
      <c r="A38" s="1"/>
      <c r="B38" s="20"/>
      <c r="C38" s="71"/>
      <c r="D38" s="67">
        <v>2018</v>
      </c>
      <c r="E38" s="67">
        <v>2019</v>
      </c>
      <c r="F38" s="67">
        <v>2020</v>
      </c>
      <c r="G38" s="67">
        <v>2021</v>
      </c>
      <c r="H38" s="67">
        <v>2022</v>
      </c>
      <c r="I38" s="66">
        <v>2023</v>
      </c>
      <c r="J38" s="66">
        <v>2024</v>
      </c>
      <c r="K38" s="66">
        <v>2025</v>
      </c>
      <c r="L38" s="66">
        <v>2026</v>
      </c>
      <c r="M38" s="66">
        <v>2027</v>
      </c>
      <c r="N38" s="67">
        <v>2028</v>
      </c>
      <c r="O38" s="67"/>
      <c r="P38" s="67"/>
      <c r="Q38" s="67"/>
      <c r="R38" s="67"/>
      <c r="S38" s="67"/>
      <c r="T38" s="67"/>
      <c r="U38" s="67"/>
      <c r="V38" s="67"/>
    </row>
    <row r="39" spans="1:22" x14ac:dyDescent="0.2">
      <c r="A39" s="63" t="s">
        <v>233</v>
      </c>
      <c r="B39" s="20"/>
      <c r="C39" s="71"/>
      <c r="D39" s="6"/>
      <c r="E39" s="6"/>
      <c r="F39" s="6"/>
      <c r="G39" s="6"/>
      <c r="H39" s="6"/>
      <c r="I39" s="2"/>
      <c r="J39" s="2"/>
      <c r="K39" s="2"/>
      <c r="L39" s="2"/>
      <c r="M39" s="2"/>
    </row>
    <row r="40" spans="1:22" x14ac:dyDescent="0.2">
      <c r="A40"/>
      <c r="B40" s="20"/>
      <c r="C40" s="71"/>
      <c r="D40" s="6"/>
      <c r="E40" s="6"/>
      <c r="F40" s="6"/>
      <c r="G40" s="6"/>
      <c r="H40" s="6"/>
      <c r="I40" s="2"/>
      <c r="J40" s="2"/>
      <c r="K40" s="2"/>
      <c r="L40" s="2"/>
      <c r="M40" s="2"/>
    </row>
    <row r="41" spans="1:22" x14ac:dyDescent="0.2">
      <c r="A41" t="s">
        <v>238</v>
      </c>
      <c r="B41" s="20"/>
      <c r="C41" s="71"/>
      <c r="D41" s="27" t="s">
        <v>211</v>
      </c>
      <c r="E41" s="6">
        <f>D46</f>
        <v>9062496.5979999993</v>
      </c>
      <c r="F41" s="6">
        <f>E46</f>
        <v>9526865.5500000007</v>
      </c>
      <c r="G41" s="6">
        <f>F46</f>
        <v>10706220.278999999</v>
      </c>
      <c r="H41" s="6">
        <f>G46</f>
        <v>11720628.345000001</v>
      </c>
      <c r="I41" s="2">
        <f>H46</f>
        <v>12904704.338</v>
      </c>
      <c r="J41" s="2">
        <f t="shared" ref="J41:M41" si="17">I46</f>
        <v>14500666.029916914</v>
      </c>
      <c r="K41" s="2">
        <f t="shared" si="17"/>
        <v>16229879.211710362</v>
      </c>
      <c r="L41" s="2">
        <f t="shared" si="17"/>
        <v>18107940.921038385</v>
      </c>
      <c r="M41" s="2">
        <f t="shared" si="17"/>
        <v>20151811.978240773</v>
      </c>
    </row>
    <row r="42" spans="1:22" x14ac:dyDescent="0.2">
      <c r="A42" s="1" t="s">
        <v>231</v>
      </c>
      <c r="B42" s="19">
        <f>AVERAGE(E43:H43)</f>
        <v>8.6237097184218584E-2</v>
      </c>
      <c r="C42" s="71" t="s">
        <v>239</v>
      </c>
      <c r="D42" s="6">
        <f>Model!B97</f>
        <v>753756</v>
      </c>
      <c r="E42" s="6">
        <f>Model!C97</f>
        <v>756081.41799999995</v>
      </c>
      <c r="F42" s="6">
        <f>Model!D97</f>
        <v>862892.94400000002</v>
      </c>
      <c r="G42" s="6">
        <f>Model!E97</f>
        <v>929914.04799999995</v>
      </c>
      <c r="H42" s="6">
        <f>Model!F97</f>
        <v>985548.1</v>
      </c>
      <c r="I42" s="2">
        <f>I41*$I$43</f>
        <v>1112864.2421297131</v>
      </c>
      <c r="J42" s="2">
        <f t="shared" ref="J42:M42" si="18">J41*$I$43</f>
        <v>1250495.345657842</v>
      </c>
      <c r="K42" s="2">
        <f t="shared" si="18"/>
        <v>1399617.6708683954</v>
      </c>
      <c r="L42" s="2">
        <f t="shared" si="18"/>
        <v>1561576.2610136757</v>
      </c>
      <c r="M42" s="2">
        <f t="shared" si="18"/>
        <v>1737833.7680056498</v>
      </c>
    </row>
    <row r="43" spans="1:22" x14ac:dyDescent="0.2">
      <c r="A43" s="34" t="s">
        <v>240</v>
      </c>
      <c r="B43" s="35"/>
      <c r="C43" s="71"/>
      <c r="D43" s="40"/>
      <c r="E43" s="37">
        <f>E42/E41</f>
        <v>8.3429705029280724E-2</v>
      </c>
      <c r="F43" s="37">
        <f t="shared" ref="F43:G43" si="19">F42/F41</f>
        <v>9.0574695262703689E-2</v>
      </c>
      <c r="G43" s="37">
        <f t="shared" si="19"/>
        <v>8.6857361773510736E-2</v>
      </c>
      <c r="H43" s="38">
        <f>H42/H41</f>
        <v>8.4086626671379186E-2</v>
      </c>
      <c r="I43" s="39">
        <f>$B$42</f>
        <v>8.6237097184218584E-2</v>
      </c>
      <c r="J43" s="39">
        <f t="shared" ref="J43:M43" si="20">$B$42</f>
        <v>8.6237097184218584E-2</v>
      </c>
      <c r="K43" s="39">
        <f t="shared" si="20"/>
        <v>8.6237097184218584E-2</v>
      </c>
      <c r="L43" s="39">
        <f t="shared" si="20"/>
        <v>8.6237097184218584E-2</v>
      </c>
      <c r="M43" s="39">
        <f t="shared" si="20"/>
        <v>8.6237097184218584E-2</v>
      </c>
    </row>
    <row r="44" spans="1:22" x14ac:dyDescent="0.2">
      <c r="A44" s="1" t="s">
        <v>233</v>
      </c>
      <c r="B44" s="19">
        <f>AVERAGE(E45:H45)</f>
        <v>0.11429980548725323</v>
      </c>
      <c r="C44" s="71" t="s">
        <v>294</v>
      </c>
      <c r="D44" s="27" t="s">
        <v>211</v>
      </c>
      <c r="E44" s="6">
        <f>E46-(E41-E42)</f>
        <v>1220450.370000001</v>
      </c>
      <c r="F44" s="6">
        <f>F46-(F41-F42)</f>
        <v>2042247.6729999986</v>
      </c>
      <c r="G44" s="6">
        <f>G46-(G41-G42)</f>
        <v>1944322.1140000019</v>
      </c>
      <c r="H44" s="6">
        <f>H46-(H41-H42)</f>
        <v>2169624.0929999985</v>
      </c>
      <c r="I44" s="2">
        <f>I45*Model!G6</f>
        <v>2708825.9340466284</v>
      </c>
      <c r="J44" s="2">
        <f>J45*Model!H6</f>
        <v>2979708.5274512917</v>
      </c>
      <c r="K44" s="2">
        <f>K45*Model!I6</f>
        <v>3277679.3801964209</v>
      </c>
      <c r="L44" s="2">
        <f>L45*Model!J6</f>
        <v>3605447.3182160635</v>
      </c>
      <c r="M44" s="2">
        <f>M45*Model!K6</f>
        <v>3965992.0500376704</v>
      </c>
    </row>
    <row r="45" spans="1:22" ht="17" thickBot="1" x14ac:dyDescent="0.25">
      <c r="A45" s="34" t="s">
        <v>240</v>
      </c>
      <c r="B45" s="35"/>
      <c r="C45" s="71"/>
      <c r="D45" s="40"/>
      <c r="E45" s="37">
        <f>E44/Model!C6</f>
        <v>8.276380768943005E-2</v>
      </c>
      <c r="F45" s="37">
        <f>F44/Model!D6</f>
        <v>0.14534695380082652</v>
      </c>
      <c r="G45" s="37">
        <f>G44/Model!E6</f>
        <v>0.12838565428623608</v>
      </c>
      <c r="H45" s="37">
        <f>H44/Model!F6</f>
        <v>0.1007028061725203</v>
      </c>
      <c r="I45" s="39">
        <f>$B$44</f>
        <v>0.11429980548725323</v>
      </c>
      <c r="J45" s="39">
        <f t="shared" ref="J45:M45" si="21">$B$44</f>
        <v>0.11429980548725323</v>
      </c>
      <c r="K45" s="39">
        <f t="shared" si="21"/>
        <v>0.11429980548725323</v>
      </c>
      <c r="L45" s="39">
        <f t="shared" si="21"/>
        <v>0.11429980548725323</v>
      </c>
      <c r="M45" s="39">
        <f t="shared" si="21"/>
        <v>0.11429980548725323</v>
      </c>
    </row>
    <row r="46" spans="1:22" ht="17" thickTop="1" x14ac:dyDescent="0.2">
      <c r="A46" s="1" t="s">
        <v>237</v>
      </c>
      <c r="B46" s="20"/>
      <c r="C46" s="71"/>
      <c r="D46" s="32">
        <f>Model!B42</f>
        <v>9062496.5979999993</v>
      </c>
      <c r="E46" s="32">
        <f>Model!C42</f>
        <v>9526865.5500000007</v>
      </c>
      <c r="F46" s="32">
        <f>Model!D42</f>
        <v>10706220.278999999</v>
      </c>
      <c r="G46" s="32">
        <f>Model!E42</f>
        <v>11720628.345000001</v>
      </c>
      <c r="H46" s="32">
        <f>Model!F42</f>
        <v>12904704.338</v>
      </c>
      <c r="I46" s="33">
        <f>SUM(I41,I44,-I42)</f>
        <v>14500666.029916914</v>
      </c>
      <c r="J46" s="33">
        <f>SUM(J41,J44,-J42)</f>
        <v>16229879.211710362</v>
      </c>
      <c r="K46" s="33">
        <f>SUM(K41,K44,-K42)</f>
        <v>18107940.921038385</v>
      </c>
      <c r="L46" s="33">
        <f>SUM(L41,L44,-L42)</f>
        <v>20151811.978240773</v>
      </c>
      <c r="M46" s="33">
        <f>SUM(M41,M44,-M42)</f>
        <v>22379970.260272793</v>
      </c>
    </row>
    <row r="47" spans="1:22" x14ac:dyDescent="0.2">
      <c r="A47" s="1"/>
      <c r="B47" s="20"/>
      <c r="C47" s="71"/>
      <c r="D47" s="6"/>
      <c r="E47" s="6"/>
      <c r="F47" s="6"/>
      <c r="G47" s="6"/>
      <c r="H47" s="6"/>
      <c r="I47" s="2"/>
      <c r="J47" s="2"/>
      <c r="K47" s="2"/>
      <c r="L47" s="2"/>
      <c r="M47" s="2"/>
    </row>
    <row r="48" spans="1:22" x14ac:dyDescent="0.2">
      <c r="A48" s="63" t="s">
        <v>264</v>
      </c>
      <c r="B48" s="64"/>
      <c r="C48" s="73"/>
      <c r="D48" s="65"/>
      <c r="E48" s="65"/>
      <c r="F48" s="65"/>
      <c r="G48" s="65"/>
      <c r="H48" s="65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">
      <c r="A49"/>
      <c r="B49" s="20"/>
      <c r="C49" s="71"/>
      <c r="I49"/>
      <c r="J49"/>
      <c r="K49"/>
      <c r="L49"/>
      <c r="M49"/>
    </row>
    <row r="50" spans="1:22" x14ac:dyDescent="0.2">
      <c r="A50" t="s">
        <v>265</v>
      </c>
      <c r="B50" s="19">
        <v>0.5</v>
      </c>
      <c r="C50" s="71" t="s">
        <v>255</v>
      </c>
      <c r="I50" s="22">
        <f>I44*($B$50)</f>
        <v>1354412.9670233142</v>
      </c>
      <c r="J50" s="22">
        <f>J44*($B$50)</f>
        <v>1489854.2637256458</v>
      </c>
      <c r="K50" s="22">
        <f>K44*($B$50)</f>
        <v>1638839.6900982105</v>
      </c>
      <c r="L50" s="22">
        <f>L44*($B$50)</f>
        <v>1802723.6591080318</v>
      </c>
      <c r="M50" s="22">
        <f>M44*($B$50)</f>
        <v>1982996.0250188352</v>
      </c>
    </row>
    <row r="51" spans="1:22" x14ac:dyDescent="0.2">
      <c r="A51" t="s">
        <v>257</v>
      </c>
      <c r="B51" s="20">
        <v>4</v>
      </c>
      <c r="C51" s="71" t="s">
        <v>256</v>
      </c>
      <c r="E51" s="6"/>
      <c r="F51" s="6"/>
      <c r="G51" s="6"/>
      <c r="H51" s="6"/>
      <c r="I51"/>
      <c r="J51"/>
      <c r="K51"/>
      <c r="L51"/>
      <c r="M51"/>
    </row>
    <row r="52" spans="1:22" x14ac:dyDescent="0.2">
      <c r="A52" t="s">
        <v>261</v>
      </c>
      <c r="B52" s="20"/>
      <c r="C52" s="71"/>
      <c r="I52" s="22">
        <f>Model!F56</f>
        <v>344778.85</v>
      </c>
      <c r="J52"/>
      <c r="K52"/>
      <c r="L52"/>
      <c r="M52"/>
    </row>
    <row r="53" spans="1:22" x14ac:dyDescent="0.2">
      <c r="A53" t="s">
        <v>259</v>
      </c>
      <c r="B53" s="20"/>
      <c r="C53" s="71"/>
      <c r="I53" s="22"/>
      <c r="J53"/>
      <c r="K53"/>
      <c r="L53"/>
      <c r="M53"/>
    </row>
    <row r="54" spans="1:22" x14ac:dyDescent="0.2">
      <c r="A54" s="8">
        <v>2023</v>
      </c>
      <c r="B54" s="20"/>
      <c r="C54" s="71"/>
      <c r="I54" s="22" cm="1">
        <f t="array" ref="I54">IF(INDEX($D$38:I$50,1,COLUMN(I54)-COLUMN($D$38)+1)&gt;=$A54,IF(HLOOKUP($A54,$D$38:$M$50,ROW(I$50)-ROW(I$38)+1,FALSE)-SUM($D54:H54)&gt;1,HLOOKUP($A54,$D$38:$M$50,ROW(I$50)-ROW(I$38)+1,FALSE)/$B$51,0),0)</f>
        <v>338603.24175582855</v>
      </c>
      <c r="J54" s="22" cm="1">
        <f t="array" ref="J54">IF(INDEX($D$38:J$50,1,COLUMN(J54)-COLUMN($D$38)+1)&gt;=$A54,IF(HLOOKUP($A54,$D$38:$M$50,ROW(J$50)-ROW(J$38)+1,FALSE)-SUM($D54:I54)&gt;1,HLOOKUP($A54,$D$38:$M$50,ROW(J$50)-ROW(J$38)+1,FALSE)/$B$51,0),0)</f>
        <v>338603.24175582855</v>
      </c>
      <c r="K54" s="22" cm="1">
        <f t="array" ref="K54">IF(INDEX($D$38:K$50,1,COLUMN(K54)-COLUMN($D$38)+1)&gt;=$A54,IF(HLOOKUP($A54,$D$38:$M$50,ROW(K$50)-ROW(K$38)+1,FALSE)-SUM($D54:J54)&gt;1,HLOOKUP($A54,$D$38:$M$50,ROW(K$50)-ROW(K$38)+1,FALSE)/$B$51,0),0)</f>
        <v>338603.24175582855</v>
      </c>
      <c r="L54" s="22" cm="1">
        <f t="array" ref="L54">IF(INDEX($D$38:L$50,1,COLUMN(L54)-COLUMN($D$38)+1)&gt;=$A54,IF(HLOOKUP($A54,$D$38:$M$50,ROW(L$50)-ROW(L$38)+1,FALSE)-SUM($D54:K54)&gt;1,HLOOKUP($A54,$D$38:$M$50,ROW(L$50)-ROW(L$38)+1,FALSE)/$B$51,0),0)</f>
        <v>338603.24175582855</v>
      </c>
      <c r="M54" s="22" cm="1">
        <f t="array" ref="M54">IF(INDEX($D$38:M$50,1,COLUMN(M54)-COLUMN($D$38)+1)&gt;=$A54,IF(HLOOKUP($A54,$D$38:$M$50,ROW(M$50)-ROW(M$38)+1,FALSE)-SUM($D54:L54)&gt;1,HLOOKUP($A54,$D$38:$M$50,ROW(M$50)-ROW(M$38)+1,FALSE)/$B$51,0),0)</f>
        <v>0</v>
      </c>
      <c r="N54" s="30" cm="1">
        <f t="array" ref="N54">IF(INDEX($D$38:N$50,1,COLUMN(N54)-COLUMN($D$38)+1)&gt;=$A54,IF(HLOOKUP($A54,$D$38:$M$50,ROW(N$50)-ROW(N$38)+1,FALSE)-SUM($D54:M54)&gt;1,HLOOKUP($A54,$D$38:$M$50,ROW(N$50)-ROW(N$38)+1,FALSE)/$B$51,0),0)</f>
        <v>0</v>
      </c>
      <c r="O54" s="30"/>
      <c r="P54" s="30"/>
      <c r="Q54" s="30"/>
      <c r="R54" s="30"/>
      <c r="S54" s="30"/>
      <c r="T54" s="30"/>
      <c r="U54" s="30"/>
      <c r="V54" s="30"/>
    </row>
    <row r="55" spans="1:22" x14ac:dyDescent="0.2">
      <c r="A55" s="8">
        <v>2024</v>
      </c>
      <c r="B55" s="20"/>
      <c r="C55" s="71"/>
      <c r="I55" s="22" cm="1">
        <f t="array" ref="I55">IF(INDEX($D$38:I$50,1,COLUMN(I55)-COLUMN($D$38)+1)&gt;=$A55,IF(HLOOKUP($A55,$D$38:$M$50,ROW(I$50)-ROW(I$38)+1,FALSE)-SUM($D55:H55)&gt;1,HLOOKUP($A55,$D$38:$M$50,ROW(I$50)-ROW(I$38)+1,FALSE)/$B$51,0),0)</f>
        <v>0</v>
      </c>
      <c r="J55" s="22" cm="1">
        <f t="array" ref="J55">IF(INDEX($D$38:J$50,1,COLUMN(J55)-COLUMN($D$38)+1)&gt;=$A55,IF(HLOOKUP($A55,$D$38:$M$50,ROW(J$50)-ROW(J$38)+1,FALSE)-SUM($D55:I55)&gt;1,HLOOKUP($A55,$D$38:$M$50,ROW(J$50)-ROW(J$38)+1,FALSE)/$B$51,0),0)</f>
        <v>372463.56593141146</v>
      </c>
      <c r="K55" s="22" cm="1">
        <f t="array" ref="K55">IF(INDEX($D$38:K$50,1,COLUMN(K55)-COLUMN($D$38)+1)&gt;=$A55,IF(HLOOKUP($A55,$D$38:$M$50,ROW(K$50)-ROW(K$38)+1,FALSE)-SUM($D55:J55)&gt;1,HLOOKUP($A55,$D$38:$M$50,ROW(K$50)-ROW(K$38)+1,FALSE)/$B$51,0),0)</f>
        <v>372463.56593141146</v>
      </c>
      <c r="L55" s="22" cm="1">
        <f t="array" ref="L55">IF(INDEX($D$38:L$50,1,COLUMN(L55)-COLUMN($D$38)+1)&gt;=$A55,IF(HLOOKUP($A55,$D$38:$M$50,ROW(L$50)-ROW(L$38)+1,FALSE)-SUM($D55:K55)&gt;1,HLOOKUP($A55,$D$38:$M$50,ROW(L$50)-ROW(L$38)+1,FALSE)/$B$51,0),0)</f>
        <v>372463.56593141146</v>
      </c>
      <c r="M55" s="22" cm="1">
        <f t="array" ref="M55">IF(INDEX($D$38:M$50,1,COLUMN(M55)-COLUMN($D$38)+1)&gt;=$A55,IF(HLOOKUP($A55,$D$38:$M$50,ROW(M$50)-ROW(M$38)+1,FALSE)-SUM($D55:L55)&gt;1,HLOOKUP($A55,$D$38:$M$50,ROW(M$50)-ROW(M$38)+1,FALSE)/$B$51,0),0)</f>
        <v>372463.56593141146</v>
      </c>
      <c r="N55" s="30" cm="1">
        <f t="array" ref="N55">IF(INDEX($D$38:N$50,1,COLUMN(N55)-COLUMN($D$38)+1)&gt;=$A55,IF(HLOOKUP($A55,$D$38:$M$50,ROW(N$50)-ROW(N$38)+1,FALSE)-SUM($D55:M55)&gt;1,HLOOKUP($A55,$D$38:$M$50,ROW(N$50)-ROW(N$38)+1,FALSE)/$B$51,0),0)</f>
        <v>0</v>
      </c>
      <c r="O55" s="30"/>
      <c r="P55" s="30"/>
      <c r="Q55" s="30"/>
      <c r="R55" s="30"/>
      <c r="S55" s="30"/>
      <c r="T55" s="30"/>
      <c r="U55" s="30"/>
      <c r="V55" s="30"/>
    </row>
    <row r="56" spans="1:22" x14ac:dyDescent="0.2">
      <c r="A56" s="8">
        <v>2025</v>
      </c>
      <c r="B56" s="20"/>
      <c r="C56" s="71"/>
      <c r="I56" s="22" cm="1">
        <f t="array" ref="I56">IF(INDEX($D$38:I$50,1,COLUMN(I56)-COLUMN($D$38)+1)&gt;=$A56,IF(HLOOKUP($A56,$D$38:$M$50,ROW(I$50)-ROW(I$38)+1,FALSE)-SUM($D56:H56)&gt;1,HLOOKUP($A56,$D$38:$M$50,ROW(I$50)-ROW(I$38)+1,FALSE)/$B$51,0),0)</f>
        <v>0</v>
      </c>
      <c r="J56" s="22" cm="1">
        <f t="array" ref="J56">IF(INDEX($D$38:J$50,1,COLUMN(J56)-COLUMN($D$38)+1)&gt;=$A56,IF(HLOOKUP($A56,$D$38:$M$50,ROW(J$50)-ROW(J$38)+1,FALSE)-SUM($D56:I56)&gt;1,HLOOKUP($A56,$D$38:$M$50,ROW(J$50)-ROW(J$38)+1,FALSE)/$B$51,0),0)</f>
        <v>0</v>
      </c>
      <c r="K56" s="22" cm="1">
        <f t="array" ref="K56">IF(INDEX($D$38:K$50,1,COLUMN(K56)-COLUMN($D$38)+1)&gt;=$A56,IF(HLOOKUP($A56,$D$38:$M$50,ROW(K$50)-ROW(K$38)+1,FALSE)-SUM($D56:J56)&gt;1,HLOOKUP($A56,$D$38:$M$50,ROW(K$50)-ROW(K$38)+1,FALSE)/$B$51,0),0)</f>
        <v>409709.92252455262</v>
      </c>
      <c r="L56" s="22" cm="1">
        <f t="array" ref="L56">IF(INDEX($D$38:L$50,1,COLUMN(L56)-COLUMN($D$38)+1)&gt;=$A56,IF(HLOOKUP($A56,$D$38:$M$50,ROW(L$50)-ROW(L$38)+1,FALSE)-SUM($D56:K56)&gt;1,HLOOKUP($A56,$D$38:$M$50,ROW(L$50)-ROW(L$38)+1,FALSE)/$B$51,0),0)</f>
        <v>409709.92252455262</v>
      </c>
      <c r="M56" s="22" cm="1">
        <f t="array" ref="M56">IF(INDEX($D$38:M$50,1,COLUMN(M56)-COLUMN($D$38)+1)&gt;=$A56,IF(HLOOKUP($A56,$D$38:$M$50,ROW(M$50)-ROW(M$38)+1,FALSE)-SUM($D56:L56)&gt;1,HLOOKUP($A56,$D$38:$M$50,ROW(M$50)-ROW(M$38)+1,FALSE)/$B$51,0),0)</f>
        <v>409709.92252455262</v>
      </c>
      <c r="N56" s="30" cm="1">
        <f t="array" ref="N56">IF(INDEX($D$38:N$50,1,COLUMN(N56)-COLUMN($D$38)+1)&gt;=$A56,IF(HLOOKUP($A56,$D$38:$M$50,ROW(N$50)-ROW(N$38)+1,FALSE)-SUM($D56:M56)&gt;1,HLOOKUP($A56,$D$38:$M$50,ROW(N$50)-ROW(N$38)+1,FALSE)/$B$51,0),0)</f>
        <v>409709.92252455262</v>
      </c>
      <c r="O56" s="30"/>
      <c r="P56" s="30"/>
      <c r="Q56" s="30"/>
      <c r="R56" s="30"/>
      <c r="S56" s="30"/>
      <c r="T56" s="30"/>
      <c r="U56" s="30"/>
      <c r="V56" s="30"/>
    </row>
    <row r="57" spans="1:22" x14ac:dyDescent="0.2">
      <c r="A57" s="8">
        <v>2026</v>
      </c>
      <c r="B57" s="20"/>
      <c r="C57" s="71"/>
      <c r="I57" s="22" cm="1">
        <f t="array" ref="I57">IF(INDEX($D$38:I$50,1,COLUMN(I57)-COLUMN($D$38)+1)&gt;=$A57,IF(HLOOKUP($A57,$D$38:$M$50,ROW(I$50)-ROW(I$38)+1,FALSE)-SUM($D57:H57)&gt;1,HLOOKUP($A57,$D$38:$M$50,ROW(I$50)-ROW(I$38)+1,FALSE)/$B$51,0),0)</f>
        <v>0</v>
      </c>
      <c r="J57" s="22" cm="1">
        <f t="array" ref="J57">IF(INDEX($D$38:J$50,1,COLUMN(J57)-COLUMN($D$38)+1)&gt;=$A57,IF(HLOOKUP($A57,$D$38:$M$50,ROW(J$50)-ROW(J$38)+1,FALSE)-SUM($D57:I57)&gt;1,HLOOKUP($A57,$D$38:$M$50,ROW(J$50)-ROW(J$38)+1,FALSE)/$B$51,0),0)</f>
        <v>0</v>
      </c>
      <c r="K57" s="22" cm="1">
        <f t="array" ref="K57">IF(INDEX($D$38:K$50,1,COLUMN(K57)-COLUMN($D$38)+1)&gt;=$A57,IF(HLOOKUP($A57,$D$38:$M$50,ROW(K$50)-ROW(K$38)+1,FALSE)-SUM($D57:J57)&gt;1,HLOOKUP($A57,$D$38:$M$50,ROW(K$50)-ROW(K$38)+1,FALSE)/$B$51,0),0)</f>
        <v>0</v>
      </c>
      <c r="L57" s="22" cm="1">
        <f t="array" ref="L57">IF(INDEX($D$38:L$50,1,COLUMN(L57)-COLUMN($D$38)+1)&gt;=$A57,IF(HLOOKUP($A57,$D$38:$M$50,ROW(L$50)-ROW(L$38)+1,FALSE)-SUM($D57:K57)&gt;1,HLOOKUP($A57,$D$38:$M$50,ROW(L$50)-ROW(L$38)+1,FALSE)/$B$51,0),0)</f>
        <v>450680.91477700794</v>
      </c>
      <c r="M57" s="22" cm="1">
        <f t="array" ref="M57">IF(INDEX($D$38:M$50,1,COLUMN(M57)-COLUMN($D$38)+1)&gt;=$A57,IF(HLOOKUP($A57,$D$38:$M$50,ROW(M$50)-ROW(M$38)+1,FALSE)-SUM($D57:L57)&gt;1,HLOOKUP($A57,$D$38:$M$50,ROW(M$50)-ROW(M$38)+1,FALSE)/$B$51,0),0)</f>
        <v>450680.91477700794</v>
      </c>
      <c r="N57" s="30" cm="1">
        <f t="array" ref="N57">IF(INDEX($D$38:N$50,1,COLUMN(N57)-COLUMN($D$38)+1)&gt;=$A57,IF(HLOOKUP($A57,$D$38:$M$50,ROW(N$50)-ROW(N$38)+1,FALSE)-SUM($D57:M57)&gt;1,HLOOKUP($A57,$D$38:$M$50,ROW(N$50)-ROW(N$38)+1,FALSE)/$B$51,0),0)</f>
        <v>450680.91477700794</v>
      </c>
      <c r="O57" s="30"/>
      <c r="P57" s="30"/>
      <c r="Q57" s="30"/>
      <c r="R57" s="30"/>
      <c r="S57" s="30"/>
      <c r="T57" s="30"/>
      <c r="U57" s="30"/>
      <c r="V57" s="30"/>
    </row>
    <row r="58" spans="1:22" x14ac:dyDescent="0.2">
      <c r="A58" s="8">
        <v>2027</v>
      </c>
      <c r="B58" s="20"/>
      <c r="C58" s="71"/>
      <c r="I58" s="22" cm="1">
        <f t="array" ref="I58">IF(INDEX($D$38:I$50,1,COLUMN(I58)-COLUMN($D$38)+1)&gt;=$A58,IF(HLOOKUP($A58,$D$38:$M$50,ROW(I$50)-ROW(I$38)+1,FALSE)-SUM($D58:H58)&gt;1,HLOOKUP($A58,$D$38:$M$50,ROW(I$50)-ROW(I$38)+1,FALSE)/$B$51,0),0)</f>
        <v>0</v>
      </c>
      <c r="J58" s="22" cm="1">
        <f t="array" ref="J58">IF(INDEX($D$38:J$50,1,COLUMN(J58)-COLUMN($D$38)+1)&gt;=$A58,IF(HLOOKUP($A58,$D$38:$M$50,ROW(J$50)-ROW(J$38)+1,FALSE)-SUM($D58:I58)&gt;1,HLOOKUP($A58,$D$38:$M$50,ROW(J$50)-ROW(J$38)+1,FALSE)/$B$51,0),0)</f>
        <v>0</v>
      </c>
      <c r="K58" s="22" cm="1">
        <f t="array" ref="K58">IF(INDEX($D$38:K$50,1,COLUMN(K58)-COLUMN($D$38)+1)&gt;=$A58,IF(HLOOKUP($A58,$D$38:$M$50,ROW(K$50)-ROW(K$38)+1,FALSE)-SUM($D58:J58)&gt;1,HLOOKUP($A58,$D$38:$M$50,ROW(K$50)-ROW(K$38)+1,FALSE)/$B$51,0),0)</f>
        <v>0</v>
      </c>
      <c r="L58" s="22" cm="1">
        <f t="array" ref="L58">IF(INDEX($D$38:L$50,1,COLUMN(L58)-COLUMN($D$38)+1)&gt;=$A58,IF(HLOOKUP($A58,$D$38:$M$50,ROW(L$50)-ROW(L$38)+1,FALSE)-SUM($D58:K58)&gt;1,HLOOKUP($A58,$D$38:$M$50,ROW(L$50)-ROW(L$38)+1,FALSE)/$B$51,0),0)</f>
        <v>0</v>
      </c>
      <c r="M58" s="22" cm="1">
        <f t="array" ref="M58">IF(INDEX($D$38:M$50,1,COLUMN(M58)-COLUMN($D$38)+1)&gt;=$A58,IF(HLOOKUP($A58,$D$38:$M$50,ROW(M$50)-ROW(M$38)+1,FALSE)-SUM($D58:L58)&gt;1,HLOOKUP($A58,$D$38:$M$50,ROW(M$50)-ROW(M$38)+1,FALSE)/$B$51,0),0)</f>
        <v>495749.0062547088</v>
      </c>
      <c r="N58" s="30" cm="1">
        <f t="array" ref="N58">IF(INDEX($D$38:N$50,1,COLUMN(N58)-COLUMN($D$38)+1)&gt;=$A58,IF(HLOOKUP($A58,$D$38:$M$50,ROW(N$50)-ROW(N$38)+1,FALSE)-SUM($D58:M58)&gt;1,HLOOKUP($A58,$D$38:$M$50,ROW(N$50)-ROW(N$38)+1,FALSE)/$B$51,0),0)</f>
        <v>495749.0062547088</v>
      </c>
      <c r="O58" s="30"/>
      <c r="P58" s="30"/>
      <c r="Q58" s="30"/>
      <c r="R58" s="30"/>
      <c r="S58" s="30"/>
      <c r="T58" s="30"/>
      <c r="U58" s="30"/>
      <c r="V58" s="30"/>
    </row>
    <row r="59" spans="1:22" ht="17" thickBot="1" x14ac:dyDescent="0.25">
      <c r="A59"/>
      <c r="B59" s="20"/>
      <c r="C59" s="71"/>
      <c r="I59"/>
      <c r="J59"/>
      <c r="K59"/>
      <c r="L59"/>
      <c r="M59"/>
    </row>
    <row r="60" spans="1:22" ht="17" thickTop="1" x14ac:dyDescent="0.2">
      <c r="A60" t="s">
        <v>258</v>
      </c>
      <c r="B60" s="20"/>
      <c r="C60" s="71"/>
      <c r="D60" s="32"/>
      <c r="E60" s="32"/>
      <c r="F60" s="32"/>
      <c r="G60" s="32"/>
      <c r="H60" s="32"/>
      <c r="I60" s="33">
        <f t="shared" ref="I60:N60" si="22">SUM(I52:I58)</f>
        <v>683382.09175582859</v>
      </c>
      <c r="J60" s="33">
        <f t="shared" si="22"/>
        <v>711066.80768723995</v>
      </c>
      <c r="K60" s="33">
        <f t="shared" si="22"/>
        <v>1120776.7302117925</v>
      </c>
      <c r="L60" s="33">
        <f t="shared" si="22"/>
        <v>1571457.6449888004</v>
      </c>
      <c r="M60" s="33">
        <f t="shared" si="22"/>
        <v>1728603.4094876808</v>
      </c>
      <c r="N60" s="30">
        <f t="shared" si="22"/>
        <v>1356139.8435562693</v>
      </c>
      <c r="O60" s="30"/>
      <c r="P60" s="30"/>
      <c r="Q60" s="30"/>
      <c r="R60" s="30"/>
      <c r="S60" s="30"/>
      <c r="T60" s="30"/>
      <c r="U60" s="30"/>
      <c r="V60" s="30"/>
    </row>
    <row r="61" spans="1:22" x14ac:dyDescent="0.2">
      <c r="A61"/>
      <c r="B61" s="20"/>
      <c r="C61" s="71"/>
      <c r="D61" s="6"/>
      <c r="E61" s="6"/>
      <c r="F61" s="6"/>
      <c r="G61" s="6"/>
      <c r="H61" s="6"/>
      <c r="I61" s="22"/>
      <c r="J61" s="22"/>
      <c r="K61" s="22"/>
      <c r="L61" s="22"/>
      <c r="M61" s="22"/>
      <c r="N61" s="30"/>
      <c r="O61" s="30"/>
      <c r="P61" s="30"/>
      <c r="Q61" s="30"/>
      <c r="R61" s="30"/>
      <c r="S61" s="30"/>
      <c r="T61" s="30"/>
      <c r="U61" s="30"/>
      <c r="V61" s="30"/>
    </row>
    <row r="62" spans="1:22" x14ac:dyDescent="0.2">
      <c r="A62" s="25" t="s">
        <v>260</v>
      </c>
      <c r="B62"/>
      <c r="C62" s="71"/>
      <c r="D62" s="6">
        <f>SUM(Model!B56,Model!B66)</f>
        <v>1409875.537</v>
      </c>
      <c r="E62" s="6">
        <f>SUM(Model!C56,Model!C66)</f>
        <v>1014868.385</v>
      </c>
      <c r="F62" s="6">
        <f>SUM(Model!D56,Model!D66)</f>
        <v>1653314.801</v>
      </c>
      <c r="G62" s="6">
        <f>SUM(Model!E56,Model!E66)</f>
        <v>1614343.791</v>
      </c>
      <c r="H62" s="6">
        <f>SUM(Model!F56,Model!F66)</f>
        <v>2378201.2239999999</v>
      </c>
      <c r="I62" s="2">
        <f>H62+I50-I60</f>
        <v>3049232.0992674856</v>
      </c>
      <c r="J62" s="2">
        <f>I62+J50-J60</f>
        <v>3828019.5553058917</v>
      </c>
      <c r="K62" s="2">
        <f>J62+K50-K60</f>
        <v>4346082.5151923094</v>
      </c>
      <c r="L62" s="2">
        <f>K62+L50-L60</f>
        <v>4577348.5293115405</v>
      </c>
      <c r="M62" s="2">
        <f>L62+M50-M60</f>
        <v>4831741.1448426954</v>
      </c>
    </row>
    <row r="63" spans="1:22" x14ac:dyDescent="0.2">
      <c r="A63" t="s">
        <v>262</v>
      </c>
      <c r="B63" s="20"/>
      <c r="C63" s="71"/>
      <c r="D63" s="6">
        <f>Model!B56</f>
        <v>408930.33299999998</v>
      </c>
      <c r="E63" s="6">
        <f>Model!C56</f>
        <v>420638.62400000001</v>
      </c>
      <c r="F63" s="6">
        <f>Model!D56</f>
        <v>147295.114</v>
      </c>
      <c r="G63" s="6">
        <f>Model!E56</f>
        <v>252734.08499999999</v>
      </c>
      <c r="H63" s="6">
        <f>Model!F56</f>
        <v>344778.85</v>
      </c>
      <c r="I63" s="22">
        <f>J60</f>
        <v>711066.80768723995</v>
      </c>
      <c r="J63" s="22">
        <f t="shared" ref="J63:M63" si="23">K60</f>
        <v>1120776.7302117925</v>
      </c>
      <c r="K63" s="22">
        <f t="shared" si="23"/>
        <v>1571457.6449888004</v>
      </c>
      <c r="L63" s="22">
        <f t="shared" si="23"/>
        <v>1728603.4094876808</v>
      </c>
      <c r="M63" s="22">
        <f t="shared" si="23"/>
        <v>1356139.8435562693</v>
      </c>
    </row>
    <row r="64" spans="1:22" x14ac:dyDescent="0.2">
      <c r="A64" t="s">
        <v>263</v>
      </c>
      <c r="B64" s="20"/>
      <c r="C64" s="71"/>
      <c r="D64" s="6">
        <f>D62-D63</f>
        <v>1000945.204</v>
      </c>
      <c r="E64" s="6">
        <f t="shared" ref="E64:G64" si="24">E62-E63</f>
        <v>594229.76099999994</v>
      </c>
      <c r="F64" s="6">
        <f t="shared" si="24"/>
        <v>1506019.6869999999</v>
      </c>
      <c r="G64" s="6">
        <f t="shared" si="24"/>
        <v>1361609.706</v>
      </c>
      <c r="H64" s="6">
        <f>H62-H63</f>
        <v>2033422.3739999998</v>
      </c>
      <c r="I64" s="2">
        <f>I62-I63</f>
        <v>2338165.2915802458</v>
      </c>
      <c r="J64" s="2">
        <f>J62-J63</f>
        <v>2707242.8250940992</v>
      </c>
      <c r="K64" s="2">
        <f t="shared" ref="K64:M64" si="25">K62-K63</f>
        <v>2774624.870203509</v>
      </c>
      <c r="L64" s="2">
        <f t="shared" si="25"/>
        <v>2848745.11982386</v>
      </c>
      <c r="M64" s="2">
        <f t="shared" si="25"/>
        <v>3475601.3012864264</v>
      </c>
    </row>
    <row r="65" spans="1:13" x14ac:dyDescent="0.2">
      <c r="A65"/>
      <c r="B65" s="20"/>
      <c r="C65" s="71"/>
      <c r="I65"/>
      <c r="J65"/>
      <c r="K65"/>
      <c r="L65"/>
      <c r="M65"/>
    </row>
    <row r="66" spans="1:13" x14ac:dyDescent="0.2">
      <c r="A66" t="s">
        <v>308</v>
      </c>
      <c r="B66" s="69">
        <f>AVERAGE($F$67:$H$67)</f>
        <v>-3.4853157994067081E-2</v>
      </c>
      <c r="C66" s="71" t="s">
        <v>309</v>
      </c>
      <c r="D66" s="6">
        <f>Model!B24</f>
        <v>-122420.185</v>
      </c>
      <c r="E66" s="6">
        <f>Model!C24</f>
        <v>-112051.798</v>
      </c>
      <c r="F66" s="6">
        <f>Model!D24</f>
        <v>-66360.850999999995</v>
      </c>
      <c r="G66" s="6">
        <f>Model!E24</f>
        <v>-61447.358999999997</v>
      </c>
      <c r="H66" s="6">
        <f>Model!F24</f>
        <v>-62684.737999999998</v>
      </c>
      <c r="I66" s="2">
        <f>I67*I62</f>
        <v>-106275.36811635051</v>
      </c>
      <c r="J66" s="2">
        <f>J67*J62</f>
        <v>-133418.57036545465</v>
      </c>
      <c r="K66" s="2">
        <f t="shared" ref="K66:M66" si="26">K67*K62</f>
        <v>-151474.70055725001</v>
      </c>
      <c r="L66" s="2">
        <f t="shared" si="26"/>
        <v>-159535.05148600572</v>
      </c>
      <c r="M66" s="2">
        <f t="shared" si="26"/>
        <v>-168401.43750763702</v>
      </c>
    </row>
    <row r="67" spans="1:13" x14ac:dyDescent="0.2">
      <c r="A67" t="s">
        <v>310</v>
      </c>
      <c r="B67" s="20"/>
      <c r="C67" s="71"/>
      <c r="D67" s="28">
        <f>D66/D62</f>
        <v>-8.6830490910205782E-2</v>
      </c>
      <c r="E67" s="28">
        <f t="shared" ref="E67:H67" si="27">E66/E62</f>
        <v>-0.11041017698073233</v>
      </c>
      <c r="F67" s="28">
        <f t="shared" si="27"/>
        <v>-4.0138061402378987E-2</v>
      </c>
      <c r="G67" s="28">
        <f t="shared" si="27"/>
        <v>-3.8063366268430737E-2</v>
      </c>
      <c r="H67" s="28">
        <f t="shared" si="27"/>
        <v>-2.635804631139152E-2</v>
      </c>
      <c r="I67" s="18">
        <f>$B$66</f>
        <v>-3.4853157994067081E-2</v>
      </c>
      <c r="J67" s="18">
        <f t="shared" ref="J67:M67" si="28">$B$66</f>
        <v>-3.4853157994067081E-2</v>
      </c>
      <c r="K67" s="18">
        <f t="shared" si="28"/>
        <v>-3.4853157994067081E-2</v>
      </c>
      <c r="L67" s="18">
        <f t="shared" si="28"/>
        <v>-3.4853157994067081E-2</v>
      </c>
      <c r="M67" s="18">
        <f t="shared" si="28"/>
        <v>-3.4853157994067081E-2</v>
      </c>
    </row>
    <row r="68" spans="1:13" x14ac:dyDescent="0.2">
      <c r="A68"/>
      <c r="B68" s="20"/>
      <c r="C68" s="71"/>
      <c r="I68"/>
      <c r="J68"/>
      <c r="K68"/>
      <c r="L68"/>
      <c r="M68"/>
    </row>
    <row r="69" spans="1:13" x14ac:dyDescent="0.2">
      <c r="A69" t="s">
        <v>36</v>
      </c>
      <c r="B69" s="19">
        <f>AVERAGE(E70:H70)</f>
        <v>0.23463851778524397</v>
      </c>
      <c r="C69" s="71" t="s">
        <v>241</v>
      </c>
      <c r="D69" s="6">
        <f>Model!B46</f>
        <v>247136.90299999999</v>
      </c>
      <c r="E69" s="6">
        <f>Model!C46</f>
        <v>370657.35600000003</v>
      </c>
      <c r="F69" s="6">
        <f>Model!D46</f>
        <v>311466.30699999997</v>
      </c>
      <c r="G69" s="6">
        <f>Model!E46</f>
        <v>561672.95499999996</v>
      </c>
      <c r="H69" s="6">
        <f>Model!F46</f>
        <v>419732.45</v>
      </c>
      <c r="I69" s="2">
        <f>I70*I44</f>
        <v>635594.90210292989</v>
      </c>
      <c r="J69" s="2">
        <f>J70*J44</f>
        <v>699154.39231322298</v>
      </c>
      <c r="K69" s="2">
        <f>K70*K44</f>
        <v>769069.83154454536</v>
      </c>
      <c r="L69" s="2">
        <f>L70*L44</f>
        <v>845976.81469899998</v>
      </c>
      <c r="M69" s="2">
        <f>M70*M44</f>
        <v>930574.49616890016</v>
      </c>
    </row>
    <row r="70" spans="1:13" x14ac:dyDescent="0.2">
      <c r="A70" s="34" t="s">
        <v>242</v>
      </c>
      <c r="B70" s="35"/>
      <c r="C70" s="71"/>
      <c r="D70" s="36"/>
      <c r="E70" s="37">
        <f>E69/E44</f>
        <v>0.30370539033062011</v>
      </c>
      <c r="F70" s="37">
        <f>F69/F44</f>
        <v>0.15251152498191642</v>
      </c>
      <c r="G70" s="37">
        <f>G69/G44</f>
        <v>0.28887855101564691</v>
      </c>
      <c r="H70" s="38">
        <f>H69/H44</f>
        <v>0.19345860481279248</v>
      </c>
      <c r="I70" s="39">
        <f>$B$69</f>
        <v>0.23463851778524397</v>
      </c>
      <c r="J70" s="39">
        <f>$B$69</f>
        <v>0.23463851778524397</v>
      </c>
      <c r="K70" s="39">
        <f>$B$69</f>
        <v>0.23463851778524397</v>
      </c>
      <c r="L70" s="39">
        <f>$B$69</f>
        <v>0.23463851778524397</v>
      </c>
      <c r="M70" s="39">
        <f>$B$69</f>
        <v>0.23463851778524397</v>
      </c>
    </row>
    <row r="71" spans="1:13" x14ac:dyDescent="0.2">
      <c r="A71"/>
      <c r="B71" s="20"/>
      <c r="C71" s="71"/>
      <c r="I71"/>
      <c r="J71"/>
      <c r="K71"/>
      <c r="L71"/>
      <c r="M71"/>
    </row>
    <row r="72" spans="1:13" x14ac:dyDescent="0.2">
      <c r="A72"/>
      <c r="B72" s="20"/>
      <c r="C72" s="71"/>
      <c r="D72" s="30"/>
      <c r="E72" s="30"/>
      <c r="F72" s="30"/>
      <c r="G72" s="30"/>
      <c r="H72" s="30"/>
      <c r="I72" s="22"/>
      <c r="J72" s="22"/>
      <c r="K72" s="22"/>
      <c r="L72" s="22"/>
      <c r="M72" s="22"/>
    </row>
    <row r="73" spans="1:13" x14ac:dyDescent="0.2">
      <c r="A73" t="s">
        <v>246</v>
      </c>
      <c r="B73" s="20"/>
      <c r="C73" s="71"/>
      <c r="D73" s="30"/>
      <c r="E73" s="30"/>
      <c r="F73" s="30"/>
      <c r="G73" s="30"/>
      <c r="H73" s="30"/>
      <c r="I73" s="22">
        <f>H77</f>
        <v>15778898.502</v>
      </c>
      <c r="J73" s="22">
        <f>I77</f>
        <v>18804862.52086997</v>
      </c>
      <c r="K73" s="22">
        <f>J77</f>
        <v>22133422.94162694</v>
      </c>
      <c r="L73" s="22">
        <f>K77</f>
        <v>25794839.404459607</v>
      </c>
      <c r="M73" s="22">
        <f>L77</f>
        <v>29822397.513575539</v>
      </c>
    </row>
    <row r="74" spans="1:13" x14ac:dyDescent="0.2">
      <c r="A74" t="s">
        <v>307</v>
      </c>
      <c r="B74" s="20"/>
      <c r="C74" s="71"/>
      <c r="D74" s="30"/>
      <c r="E74" s="30"/>
      <c r="F74" s="30"/>
      <c r="G74" s="30"/>
      <c r="H74" s="30"/>
      <c r="I74" s="22">
        <f>Model!G22+Model!G25</f>
        <v>3025964.0188699691</v>
      </c>
      <c r="J74" s="22">
        <f>Model!H22+Model!H25</f>
        <v>3328560.4207569687</v>
      </c>
      <c r="K74" s="22">
        <f>Model!I22+Model!I25</f>
        <v>3661416.4628326655</v>
      </c>
      <c r="L74" s="22">
        <f>Model!J22+Model!J25</f>
        <v>4027558.1091159312</v>
      </c>
      <c r="M74" s="22">
        <f>Model!K22+Model!K25</f>
        <v>4430313.920027527</v>
      </c>
    </row>
    <row r="75" spans="1:13" x14ac:dyDescent="0.2">
      <c r="A75" t="s">
        <v>248</v>
      </c>
      <c r="B75" s="20"/>
      <c r="C75" s="71"/>
      <c r="D75" s="30"/>
      <c r="E75" s="30"/>
      <c r="F75" s="30"/>
      <c r="G75" s="30"/>
      <c r="H75" s="30"/>
      <c r="I75" s="22">
        <f>I74+I73</f>
        <v>18804862.52086997</v>
      </c>
      <c r="J75" s="22">
        <f>J74+J73</f>
        <v>22133422.94162694</v>
      </c>
      <c r="K75" s="22">
        <f>K74+K73</f>
        <v>25794839.404459607</v>
      </c>
      <c r="L75" s="22">
        <f>L74+L73</f>
        <v>29822397.513575539</v>
      </c>
      <c r="M75" s="22">
        <f>M74+M73</f>
        <v>34252711.433603063</v>
      </c>
    </row>
    <row r="76" spans="1:13" ht="17" thickBot="1" x14ac:dyDescent="0.25">
      <c r="A76" t="s">
        <v>243</v>
      </c>
      <c r="B76" s="19">
        <v>0</v>
      </c>
      <c r="C76" s="71" t="s">
        <v>244</v>
      </c>
      <c r="D76" s="30"/>
      <c r="E76" s="30"/>
      <c r="F76" s="30"/>
      <c r="G76" s="30"/>
      <c r="H76" s="30"/>
      <c r="I76" s="22">
        <f>$B$76*I74</f>
        <v>0</v>
      </c>
      <c r="J76" s="22">
        <f>$B$76*J74</f>
        <v>0</v>
      </c>
      <c r="K76" s="22">
        <f>$B$76*K74</f>
        <v>0</v>
      </c>
      <c r="L76" s="22">
        <f>$B$76*L74</f>
        <v>0</v>
      </c>
      <c r="M76" s="22">
        <f>$B$76*M74</f>
        <v>0</v>
      </c>
    </row>
    <row r="77" spans="1:13" ht="17" thickTop="1" x14ac:dyDescent="0.2">
      <c r="A77" t="s">
        <v>245</v>
      </c>
      <c r="B77" s="20"/>
      <c r="C77" s="71"/>
      <c r="D77" s="32">
        <f>SUM(Model!B83:B84)</f>
        <v>8406195.4299999997</v>
      </c>
      <c r="E77" s="32">
        <f>SUM(Model!C83:C84)</f>
        <v>10108304.361</v>
      </c>
      <c r="F77" s="32">
        <f>SUM(Model!D83:D84)</f>
        <v>11286252.252</v>
      </c>
      <c r="G77" s="32">
        <f>SUM(Model!E83:E84)</f>
        <v>13511694.574999999</v>
      </c>
      <c r="H77" s="32">
        <f>SUM(Model!F83:F84)</f>
        <v>15778898.502</v>
      </c>
      <c r="I77" s="33">
        <f>I75-I76</f>
        <v>18804862.52086997</v>
      </c>
      <c r="J77" s="33">
        <f t="shared" ref="J77:M77" si="29">J75-J76</f>
        <v>22133422.94162694</v>
      </c>
      <c r="K77" s="33">
        <f t="shared" si="29"/>
        <v>25794839.404459607</v>
      </c>
      <c r="L77" s="33">
        <f t="shared" si="29"/>
        <v>29822397.513575539</v>
      </c>
      <c r="M77" s="33">
        <f t="shared" si="29"/>
        <v>34252711.433603063</v>
      </c>
    </row>
    <row r="78" spans="1:13" x14ac:dyDescent="0.2">
      <c r="A78"/>
      <c r="B78" s="20"/>
      <c r="C78" s="71"/>
      <c r="I78"/>
      <c r="J78"/>
      <c r="K78"/>
      <c r="L78"/>
      <c r="M78"/>
    </row>
    <row r="79" spans="1:13" x14ac:dyDescent="0.2">
      <c r="A79"/>
      <c r="B79" s="20"/>
      <c r="C79" s="71"/>
      <c r="I79"/>
      <c r="J79"/>
      <c r="K79"/>
      <c r="L79"/>
      <c r="M79"/>
    </row>
    <row r="80" spans="1:13" x14ac:dyDescent="0.2">
      <c r="A80"/>
      <c r="B80" s="20"/>
      <c r="C80" s="71"/>
      <c r="I80" s="2"/>
      <c r="J80" s="2"/>
      <c r="K80" s="2"/>
      <c r="L80" s="2"/>
      <c r="M80"/>
    </row>
    <row r="81" spans="1:13" x14ac:dyDescent="0.2">
      <c r="A81" s="3" t="s">
        <v>249</v>
      </c>
      <c r="B81" s="20"/>
      <c r="C81" s="71"/>
      <c r="F81" s="6"/>
      <c r="G81" s="6"/>
      <c r="H81" s="6"/>
      <c r="I81" s="2"/>
      <c r="J81" s="2"/>
      <c r="K81"/>
      <c r="L81"/>
      <c r="M81"/>
    </row>
    <row r="82" spans="1:13" x14ac:dyDescent="0.2">
      <c r="A82"/>
      <c r="B82" s="20"/>
      <c r="C82" s="71"/>
      <c r="F82" s="6"/>
      <c r="G82" s="6"/>
      <c r="H82" s="6"/>
      <c r="I82" s="2"/>
      <c r="J82" s="2"/>
      <c r="K82"/>
      <c r="L82"/>
      <c r="M82"/>
    </row>
    <row r="83" spans="1:13" x14ac:dyDescent="0.2">
      <c r="A83" s="1" t="s">
        <v>252</v>
      </c>
      <c r="B83" s="20"/>
      <c r="C83" s="71"/>
      <c r="D83" s="6"/>
      <c r="E83" s="6"/>
      <c r="F83" s="6"/>
      <c r="G83" s="6"/>
      <c r="H83" s="6"/>
      <c r="I83" s="2">
        <f>SUM(Model!G113,Model!G128,Model!G133,Model!G142)</f>
        <v>2668990.7160817697</v>
      </c>
      <c r="J83" s="2">
        <f>SUM(Model!H113,Model!H128,Model!H133,Model!H142)</f>
        <v>3028686.0539100217</v>
      </c>
      <c r="K83" s="2">
        <f>SUM(Model!I113,Model!I128,Model!I133,Model!I142)</f>
        <v>4619047.8903203551</v>
      </c>
      <c r="L83" s="2">
        <f>SUM(Model!J113,Model!J128,Model!J133,Model!J142)</f>
        <v>6254598.2987720314</v>
      </c>
      <c r="M83" s="2">
        <f>SUM(Model!K113,Model!K128,Model!K133,Model!K142)</f>
        <v>7735596.065261757</v>
      </c>
    </row>
    <row r="84" spans="1:13" x14ac:dyDescent="0.2">
      <c r="A84" s="1" t="s">
        <v>250</v>
      </c>
      <c r="B84" s="7">
        <v>1500000</v>
      </c>
      <c r="C84" s="74" t="s">
        <v>251</v>
      </c>
      <c r="D84" s="6">
        <f t="shared" ref="D84:M84" si="30">$B$84</f>
        <v>1500000</v>
      </c>
      <c r="E84" s="6">
        <f t="shared" si="30"/>
        <v>1500000</v>
      </c>
      <c r="F84" s="6">
        <f t="shared" si="30"/>
        <v>1500000</v>
      </c>
      <c r="G84" s="6">
        <f t="shared" si="30"/>
        <v>1500000</v>
      </c>
      <c r="H84" s="6">
        <f t="shared" si="30"/>
        <v>1500000</v>
      </c>
      <c r="I84" s="2">
        <f t="shared" si="30"/>
        <v>1500000</v>
      </c>
      <c r="J84" s="2">
        <f t="shared" si="30"/>
        <v>1500000</v>
      </c>
      <c r="K84" s="2">
        <f t="shared" si="30"/>
        <v>1500000</v>
      </c>
      <c r="L84" s="2">
        <f t="shared" si="30"/>
        <v>1500000</v>
      </c>
      <c r="M84" s="2">
        <f t="shared" si="30"/>
        <v>1500000</v>
      </c>
    </row>
    <row r="85" spans="1:13" x14ac:dyDescent="0.2">
      <c r="A85" t="s">
        <v>268</v>
      </c>
      <c r="B85"/>
      <c r="C85" s="71"/>
      <c r="I85" s="2">
        <f>H87</f>
        <v>1353000</v>
      </c>
      <c r="J85" s="2">
        <f t="shared" ref="J85:M85" si="31">I87</f>
        <v>184009.28391823033</v>
      </c>
      <c r="K85" s="2">
        <f t="shared" si="31"/>
        <v>0</v>
      </c>
      <c r="L85" s="2">
        <f t="shared" si="31"/>
        <v>0</v>
      </c>
      <c r="M85" s="2">
        <f t="shared" si="31"/>
        <v>0</v>
      </c>
    </row>
    <row r="86" spans="1:13" ht="17" thickBot="1" x14ac:dyDescent="0.25">
      <c r="A86" t="s">
        <v>269</v>
      </c>
      <c r="B86" s="20"/>
      <c r="C86"/>
      <c r="D86" s="6"/>
      <c r="E86" s="6"/>
      <c r="F86" s="6"/>
      <c r="G86" s="6"/>
      <c r="H86" s="6"/>
      <c r="I86" s="2">
        <f>IF(I83&lt;I84,I84-I83,IF(I83&gt;I85,IF(I83-I84&gt;I85,-I85,-(I83-I84)),-I83+I84))</f>
        <v>-1168990.7160817697</v>
      </c>
      <c r="J86" s="2">
        <f t="shared" ref="J86:M86" si="32">IF(J83&lt;J84,J84-J83,IF(J83&gt;J85,IF(J83-J84&gt;J85,-J85,-(J83-J84)),-J83+J84))</f>
        <v>-184009.28391823033</v>
      </c>
      <c r="K86" s="2">
        <f t="shared" si="32"/>
        <v>0</v>
      </c>
      <c r="L86" s="2">
        <f t="shared" si="32"/>
        <v>0</v>
      </c>
      <c r="M86" s="2">
        <f t="shared" si="32"/>
        <v>0</v>
      </c>
    </row>
    <row r="87" spans="1:13" ht="17" thickTop="1" x14ac:dyDescent="0.2">
      <c r="A87" s="3" t="s">
        <v>253</v>
      </c>
      <c r="B87" s="20"/>
      <c r="C87"/>
      <c r="D87" s="32">
        <f>SUM(Model!B54)</f>
        <v>1675843.375</v>
      </c>
      <c r="E87" s="32">
        <f>SUM(Model!C54)</f>
        <v>1595521.5</v>
      </c>
      <c r="F87" s="32">
        <f>SUM(Model!D54)</f>
        <v>906627.75</v>
      </c>
      <c r="G87" s="32">
        <f>SUM(Model!E54)</f>
        <v>650000</v>
      </c>
      <c r="H87" s="32">
        <f>SUM(Model!F54)</f>
        <v>1353000</v>
      </c>
      <c r="I87" s="33">
        <f>H87+I86</f>
        <v>184009.28391823033</v>
      </c>
      <c r="J87" s="33">
        <f>I87+J86</f>
        <v>0</v>
      </c>
      <c r="K87" s="33">
        <f>J87+K86</f>
        <v>0</v>
      </c>
      <c r="L87" s="33">
        <f>K87+L86</f>
        <v>0</v>
      </c>
      <c r="M87" s="33">
        <f>L87+M86</f>
        <v>0</v>
      </c>
    </row>
    <row r="88" spans="1:13" x14ac:dyDescent="0.2">
      <c r="A88"/>
      <c r="B88" s="20"/>
      <c r="C88"/>
      <c r="I88"/>
      <c r="J88"/>
      <c r="K88"/>
      <c r="L88"/>
      <c r="M88"/>
    </row>
    <row r="89" spans="1:13" x14ac:dyDescent="0.2">
      <c r="A89"/>
      <c r="B89"/>
      <c r="C89"/>
      <c r="I89"/>
      <c r="J89"/>
      <c r="K89"/>
      <c r="L89"/>
      <c r="M89"/>
    </row>
    <row r="90" spans="1:13" x14ac:dyDescent="0.2">
      <c r="A90"/>
      <c r="B90"/>
      <c r="C90"/>
      <c r="I90" s="2"/>
      <c r="J90"/>
      <c r="K90"/>
      <c r="L90"/>
      <c r="M90"/>
    </row>
    <row r="91" spans="1:13" x14ac:dyDescent="0.2">
      <c r="A91"/>
      <c r="B91"/>
      <c r="C91"/>
      <c r="I91"/>
      <c r="J91"/>
      <c r="K91"/>
      <c r="L91"/>
      <c r="M91"/>
    </row>
    <row r="92" spans="1:13" x14ac:dyDescent="0.2">
      <c r="A92"/>
      <c r="B92"/>
      <c r="C92"/>
      <c r="I92"/>
      <c r="J92"/>
      <c r="K92"/>
      <c r="L92"/>
      <c r="M92"/>
    </row>
    <row r="93" spans="1:13" x14ac:dyDescent="0.2">
      <c r="A93"/>
      <c r="B93"/>
      <c r="C93"/>
      <c r="I93"/>
      <c r="J93"/>
      <c r="K93"/>
      <c r="L93"/>
      <c r="M93"/>
    </row>
    <row r="94" spans="1:13" x14ac:dyDescent="0.2">
      <c r="A94"/>
      <c r="B94"/>
      <c r="C94"/>
      <c r="I94"/>
      <c r="J94"/>
      <c r="K94"/>
      <c r="L94"/>
      <c r="M94"/>
    </row>
    <row r="95" spans="1:13" x14ac:dyDescent="0.2">
      <c r="A95"/>
      <c r="B95"/>
      <c r="C95"/>
      <c r="I95"/>
      <c r="J95"/>
      <c r="K95"/>
      <c r="L95"/>
      <c r="M95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CAFF-D5E9-764A-8EFE-11E7323FBCA3}">
  <dimension ref="A2:K22"/>
  <sheetViews>
    <sheetView workbookViewId="0"/>
  </sheetViews>
  <sheetFormatPr baseColWidth="10" defaultRowHeight="16" x14ac:dyDescent="0.2"/>
  <cols>
    <col min="1" max="1" width="16.5" bestFit="1" customWidth="1"/>
    <col min="2" max="2" width="16.5" customWidth="1"/>
    <col min="3" max="3" width="7" bestFit="1" customWidth="1"/>
    <col min="4" max="4" width="22.33203125" bestFit="1" customWidth="1"/>
  </cols>
  <sheetData>
    <row r="2" spans="1:11" x14ac:dyDescent="0.2">
      <c r="A2" t="s">
        <v>172</v>
      </c>
      <c r="F2" t="s">
        <v>175</v>
      </c>
      <c r="H2" t="s">
        <v>176</v>
      </c>
      <c r="J2" t="s">
        <v>177</v>
      </c>
    </row>
    <row r="3" spans="1:11" x14ac:dyDescent="0.2">
      <c r="F3">
        <v>2022</v>
      </c>
      <c r="G3">
        <v>2021</v>
      </c>
      <c r="H3">
        <v>2022</v>
      </c>
      <c r="I3">
        <v>2021</v>
      </c>
      <c r="J3">
        <v>2022</v>
      </c>
      <c r="K3">
        <v>2021</v>
      </c>
    </row>
    <row r="4" spans="1:11" x14ac:dyDescent="0.2">
      <c r="A4" t="s">
        <v>178</v>
      </c>
      <c r="B4" t="s">
        <v>179</v>
      </c>
      <c r="C4" t="s">
        <v>173</v>
      </c>
      <c r="D4" t="s">
        <v>174</v>
      </c>
    </row>
    <row r="5" spans="1:11" x14ac:dyDescent="0.2">
      <c r="A5" t="s">
        <v>180</v>
      </c>
      <c r="B5" t="s">
        <v>194</v>
      </c>
      <c r="C5" t="s">
        <v>183</v>
      </c>
      <c r="D5" t="s">
        <v>197</v>
      </c>
      <c r="F5">
        <v>5.45</v>
      </c>
      <c r="G5">
        <v>7.36</v>
      </c>
      <c r="H5">
        <v>1.33</v>
      </c>
      <c r="I5">
        <v>1.23</v>
      </c>
      <c r="J5" s="14">
        <v>5.1900000000000002E-2</v>
      </c>
      <c r="K5" s="14">
        <v>4.2000000000000003E-2</v>
      </c>
    </row>
    <row r="6" spans="1:11" x14ac:dyDescent="0.2">
      <c r="A6" t="s">
        <v>195</v>
      </c>
      <c r="B6" t="s">
        <v>196</v>
      </c>
      <c r="C6" t="s">
        <v>183</v>
      </c>
      <c r="D6" t="s">
        <v>197</v>
      </c>
      <c r="F6">
        <v>13.29</v>
      </c>
      <c r="G6">
        <v>19.559999999999999</v>
      </c>
      <c r="H6">
        <v>1.19</v>
      </c>
      <c r="I6">
        <v>1.67</v>
      </c>
      <c r="J6" s="13">
        <v>5.1200000000000002E-2</v>
      </c>
      <c r="K6" s="13">
        <v>3.8899999999999997E-2</v>
      </c>
    </row>
    <row r="7" spans="1:11" x14ac:dyDescent="0.2">
      <c r="A7" t="s">
        <v>181</v>
      </c>
      <c r="B7" t="s">
        <v>182</v>
      </c>
      <c r="C7" t="s">
        <v>183</v>
      </c>
      <c r="D7" t="s">
        <v>185</v>
      </c>
      <c r="F7">
        <v>48.25</v>
      </c>
      <c r="G7">
        <v>25.73</v>
      </c>
      <c r="H7">
        <v>2.57</v>
      </c>
      <c r="I7">
        <v>4.45</v>
      </c>
      <c r="J7" s="14">
        <v>2.8500000000000001E-2</v>
      </c>
      <c r="K7" s="14">
        <v>1.6799999999999999E-2</v>
      </c>
    </row>
    <row r="8" spans="1:11" x14ac:dyDescent="0.2">
      <c r="A8" t="s">
        <v>186</v>
      </c>
      <c r="B8" t="s">
        <v>187</v>
      </c>
      <c r="C8" t="s">
        <v>183</v>
      </c>
      <c r="D8" t="s">
        <v>185</v>
      </c>
      <c r="F8">
        <v>20.13</v>
      </c>
      <c r="G8">
        <v>18.3</v>
      </c>
      <c r="H8">
        <v>1.99</v>
      </c>
      <c r="I8">
        <v>1.66</v>
      </c>
      <c r="J8" s="14">
        <v>4.3799999999999999E-2</v>
      </c>
      <c r="K8" s="14">
        <v>4.3799999999999999E-2</v>
      </c>
    </row>
    <row r="9" spans="1:11" x14ac:dyDescent="0.2">
      <c r="A9" t="s">
        <v>188</v>
      </c>
      <c r="B9" t="s">
        <v>189</v>
      </c>
      <c r="C9" t="s">
        <v>183</v>
      </c>
      <c r="D9" t="s">
        <v>190</v>
      </c>
      <c r="F9">
        <v>13.66</v>
      </c>
      <c r="G9">
        <v>13.23</v>
      </c>
      <c r="H9">
        <v>1.55</v>
      </c>
      <c r="I9">
        <v>1.67</v>
      </c>
      <c r="J9" s="14">
        <v>4.8000000000000001E-2</v>
      </c>
      <c r="K9" s="14">
        <v>4.3400000000000001E-2</v>
      </c>
    </row>
    <row r="10" spans="1:11" x14ac:dyDescent="0.2">
      <c r="A10" t="s">
        <v>191</v>
      </c>
      <c r="B10" t="s">
        <v>192</v>
      </c>
      <c r="C10" t="s">
        <v>183</v>
      </c>
      <c r="D10" t="s">
        <v>184</v>
      </c>
      <c r="F10">
        <v>32.770000000000003</v>
      </c>
      <c r="G10">
        <v>38.79</v>
      </c>
      <c r="H10">
        <v>2.4</v>
      </c>
      <c r="I10">
        <v>3.12</v>
      </c>
      <c r="J10" s="13">
        <v>1.14E-2</v>
      </c>
      <c r="K10" s="13">
        <v>6.4999999999999997E-3</v>
      </c>
    </row>
    <row r="11" spans="1:11" x14ac:dyDescent="0.2">
      <c r="A11" t="s">
        <v>193</v>
      </c>
      <c r="B11" t="s">
        <v>193</v>
      </c>
      <c r="C11" t="s">
        <v>183</v>
      </c>
      <c r="D11" t="s">
        <v>185</v>
      </c>
      <c r="F11">
        <v>12.26</v>
      </c>
      <c r="G11">
        <v>59.12</v>
      </c>
      <c r="H11">
        <v>0.83</v>
      </c>
      <c r="I11">
        <v>0.82</v>
      </c>
      <c r="J11" s="13">
        <v>0</v>
      </c>
      <c r="K11" s="13">
        <v>5.4300000000000001E-2</v>
      </c>
    </row>
    <row r="12" spans="1:11" x14ac:dyDescent="0.2">
      <c r="J12" s="13"/>
      <c r="K12" s="13"/>
    </row>
    <row r="13" spans="1:11" x14ac:dyDescent="0.2">
      <c r="B13" t="s">
        <v>198</v>
      </c>
      <c r="F13">
        <f>MAX(F5:F11)</f>
        <v>48.25</v>
      </c>
      <c r="G13">
        <f t="shared" ref="G13:K13" si="0">MAX(G5:G11)</f>
        <v>59.12</v>
      </c>
      <c r="H13">
        <f t="shared" si="0"/>
        <v>2.57</v>
      </c>
      <c r="I13">
        <f t="shared" si="0"/>
        <v>4.45</v>
      </c>
      <c r="J13" s="13">
        <f t="shared" si="0"/>
        <v>5.1900000000000002E-2</v>
      </c>
      <c r="K13" s="13">
        <f t="shared" si="0"/>
        <v>5.4300000000000001E-2</v>
      </c>
    </row>
    <row r="14" spans="1:11" x14ac:dyDescent="0.2">
      <c r="B14" t="s">
        <v>199</v>
      </c>
      <c r="F14">
        <f>_xlfn.PERCENTILE.EXC(F5:F11,0.75)</f>
        <v>32.770000000000003</v>
      </c>
      <c r="G14">
        <f t="shared" ref="G14:K14" si="1">_xlfn.PERCENTILE.EXC(G5:G11,0.75)</f>
        <v>38.79</v>
      </c>
      <c r="H14">
        <f t="shared" si="1"/>
        <v>2.4</v>
      </c>
      <c r="I14">
        <f t="shared" si="1"/>
        <v>3.12</v>
      </c>
      <c r="J14" s="13">
        <f t="shared" si="1"/>
        <v>5.1200000000000002E-2</v>
      </c>
      <c r="K14" s="13">
        <f t="shared" si="1"/>
        <v>4.3799999999999999E-2</v>
      </c>
    </row>
    <row r="15" spans="1:11" x14ac:dyDescent="0.2">
      <c r="B15" t="s">
        <v>200</v>
      </c>
      <c r="F15">
        <f>MEDIAN(F5:F11)</f>
        <v>13.66</v>
      </c>
      <c r="G15">
        <f t="shared" ref="G15:K15" si="2">MEDIAN(G5:G11)</f>
        <v>19.559999999999999</v>
      </c>
      <c r="H15">
        <f t="shared" si="2"/>
        <v>1.55</v>
      </c>
      <c r="I15">
        <f t="shared" si="2"/>
        <v>1.67</v>
      </c>
      <c r="J15" s="13">
        <f t="shared" si="2"/>
        <v>4.3799999999999999E-2</v>
      </c>
      <c r="K15" s="13">
        <f t="shared" si="2"/>
        <v>4.2000000000000003E-2</v>
      </c>
    </row>
    <row r="16" spans="1:11" x14ac:dyDescent="0.2">
      <c r="B16" t="s">
        <v>201</v>
      </c>
      <c r="F16">
        <f>_xlfn.PERCENTILE.EXC(F5:F11,0.25)</f>
        <v>12.26</v>
      </c>
      <c r="G16">
        <f t="shared" ref="G16:K16" si="3">_xlfn.PERCENTILE.EXC(G5:G11,0.25)</f>
        <v>13.23</v>
      </c>
      <c r="H16">
        <f t="shared" si="3"/>
        <v>1.19</v>
      </c>
      <c r="I16">
        <f t="shared" si="3"/>
        <v>1.23</v>
      </c>
      <c r="J16" s="13">
        <f t="shared" si="3"/>
        <v>1.14E-2</v>
      </c>
      <c r="K16" s="13">
        <f t="shared" si="3"/>
        <v>1.6799999999999999E-2</v>
      </c>
    </row>
    <row r="17" spans="2:11" x14ac:dyDescent="0.2">
      <c r="B17" t="s">
        <v>202</v>
      </c>
      <c r="F17">
        <f>MIN(F5:F11)</f>
        <v>5.45</v>
      </c>
      <c r="G17">
        <f t="shared" ref="G17:K17" si="4">MIN(G5:G11)</f>
        <v>7.36</v>
      </c>
      <c r="H17">
        <f t="shared" si="4"/>
        <v>0.83</v>
      </c>
      <c r="I17">
        <f t="shared" si="4"/>
        <v>0.82</v>
      </c>
      <c r="J17" s="13">
        <f t="shared" si="4"/>
        <v>0</v>
      </c>
      <c r="K17" s="13">
        <f t="shared" si="4"/>
        <v>6.4999999999999997E-3</v>
      </c>
    </row>
    <row r="18" spans="2:11" x14ac:dyDescent="0.2">
      <c r="J18" s="13"/>
      <c r="K18" s="13"/>
    </row>
    <row r="19" spans="2:11" x14ac:dyDescent="0.2">
      <c r="J19" s="13"/>
      <c r="K19" s="13"/>
    </row>
    <row r="20" spans="2:11" x14ac:dyDescent="0.2">
      <c r="J20" s="13"/>
      <c r="K20" s="13"/>
    </row>
    <row r="21" spans="2:11" x14ac:dyDescent="0.2">
      <c r="J21" s="13"/>
      <c r="K21" s="13"/>
    </row>
    <row r="22" spans="2:11" x14ac:dyDescent="0.2">
      <c r="J22" s="14"/>
      <c r="K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Model</vt:lpstr>
      <vt:lpstr>WACC</vt:lpstr>
      <vt:lpstr>DCF</vt:lpstr>
      <vt:lpstr>Assumptions for 3 Statement</vt:lpstr>
      <vt:lpstr>Comparables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Mahatsachan Mahatdetkul</dc:creator>
  <cp:lastModifiedBy>Mahatsachan Mahatdetkul</cp:lastModifiedBy>
  <cp:lastPrinted>2023-01-13T13:12:04Z</cp:lastPrinted>
  <dcterms:created xsi:type="dcterms:W3CDTF">2023-01-11T03:55:46Z</dcterms:created>
  <dcterms:modified xsi:type="dcterms:W3CDTF">2023-02-11T14:46:04Z</dcterms:modified>
</cp:coreProperties>
</file>