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02\Desktop\badgerloop\solar_car_hardware\mppt\design\"/>
    </mc:Choice>
  </mc:AlternateContent>
  <xr:revisionPtr revIDLastSave="0" documentId="13_ncr:1_{6F642484-77B3-4495-B43F-A32EFA225EBC}" xr6:coauthVersionLast="47" xr6:coauthVersionMax="47" xr10:uidLastSave="{00000000-0000-0000-0000-000000000000}"/>
  <bookViews>
    <workbookView xWindow="-108" yWindow="-108" windowWidth="23256" windowHeight="12576" xr2:uid="{632D32AA-A087-40DE-B097-47254B8CA429}"/>
  </bookViews>
  <sheets>
    <sheet name="Multi_String_Single_phase" sheetId="3" r:id="rId1"/>
    <sheet name="Library_Parts_To_Make" sheetId="5" r:id="rId2"/>
    <sheet name="Original_Multiphase" sheetId="1" r:id="rId3"/>
    <sheet name="POL_Power_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3" l="1"/>
  <c r="AC18" i="3"/>
  <c r="AC11" i="3"/>
  <c r="AC12" i="3" s="1"/>
  <c r="AC10" i="3"/>
  <c r="Y23" i="3"/>
  <c r="V15" i="3"/>
  <c r="V23" i="3" s="1"/>
  <c r="V25" i="3" s="1"/>
  <c r="V27" i="3"/>
  <c r="V26" i="3"/>
  <c r="V24" i="3"/>
  <c r="V8" i="3"/>
  <c r="S8" i="3"/>
  <c r="K20" i="1"/>
  <c r="K26" i="1" s="1"/>
  <c r="N23" i="1"/>
  <c r="N24" i="1" s="1"/>
  <c r="N24" i="3"/>
  <c r="N23" i="3"/>
  <c r="F6" i="4"/>
  <c r="F5" i="4"/>
  <c r="F3" i="4"/>
  <c r="F2" i="4"/>
  <c r="H23" i="3"/>
  <c r="H15" i="3"/>
  <c r="K30" i="1"/>
  <c r="K31" i="1"/>
  <c r="K28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3" i="3" s="1"/>
  <c r="K34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V28" i="3" l="1"/>
  <c r="H20" i="3"/>
  <c r="K31" i="3"/>
  <c r="K32" i="3" s="1"/>
  <c r="H3" i="3" s="1"/>
  <c r="K9" i="3"/>
  <c r="K27" i="3" s="1"/>
  <c r="H8" i="3"/>
  <c r="H10" i="3" s="1"/>
  <c r="H22" i="3"/>
  <c r="H24" i="3" s="1"/>
  <c r="K29" i="3"/>
  <c r="K30" i="3" s="1"/>
  <c r="H21" i="3"/>
  <c r="B19" i="3"/>
  <c r="E12" i="3" s="1"/>
  <c r="K8" i="3"/>
  <c r="K26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  <author>Shelby Riggleman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AB7" authorId="1" shapeId="0" xr:uid="{6ADE8147-1C8E-4C60-8ED7-B9B2F96D6B65}">
      <text>
        <r>
          <rPr>
            <b/>
            <sz val="9"/>
            <color indexed="81"/>
            <rFont val="Tahoma"/>
            <family val="2"/>
          </rPr>
          <t>Shelby Riggleman:</t>
        </r>
        <r>
          <rPr>
            <sz val="9"/>
            <color indexed="81"/>
            <rFont val="Tahoma"/>
            <family val="2"/>
          </rPr>
          <t xml:space="preserve">
Resource here:
https://www.cuidevices.com/blog/how-to-select-a-heat-sink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U8" authorId="0" shapeId="0" xr:uid="{57591E76-57EC-4784-9C39-4C20C0530E84}">
      <text>
        <r>
          <rPr>
            <b/>
            <sz val="9"/>
            <color indexed="81"/>
            <rFont val="Tahoma"/>
            <charset val="1"/>
          </rPr>
          <t>Capacitor Current Rating Must be higher than this value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B5" authorId="0" shapeId="0" xr:uid="{EE5894B5-F449-47EE-BD0A-0D3082B357D9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<sst xmlns="http://schemas.openxmlformats.org/spreadsheetml/2006/main" count="251" uniqueCount="154">
  <si>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</si>
  <si>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</si>
  <si>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</si>
  <si>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</si>
  <si>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</si>
  <si>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</si>
  <si>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</si>
  <si>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</si>
  <si>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</si>
  <si>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</si>
  <si>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</si>
  <si>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</si>
  <si>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</si>
  <si>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</si>
  <si>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</si>
  <si>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</si>
  <si>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</si>
  <si>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</si>
  <si>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</si>
  <si>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</si>
  <si>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</si>
  <si>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</si>
  <si>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</si>
  <si>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</si>
  <si>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</si>
  <si>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</si>
  <si>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</si>
  <si>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</si>
  <si>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</si>
  <si>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</si>
  <si>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</si>
  <si>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</si>
  <si>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</si>
  <si>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</si>
  <si>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</si>
  <si>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</si>
  <si>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</si>
  <si>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</si>
  <si>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</si>
  <si>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</si>
  <si>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</si>
  <si>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</si>
  <si>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</si>
  <si>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</si>
  <si>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</si>
  <si>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</si>
  <si>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</si>
  <si>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</si>
  <si>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</si>
  <si>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</si>
  <si>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</si>
  <si>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</si>
  <si>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</si>
  <si>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</si>
  <si>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</si>
  <si>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</si>
  <si>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</si>
  <si>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</si>
  <si>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</si>
  <si>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</si>
  <si>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</si>
  <si>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</si>
  <si>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</si>
  <si>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</si>
  <si>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</si>
  <si>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</si>
  <si>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</si>
  <si>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</si>
  <si>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</si>
  <si>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</si>
  <si>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</si>
  <si>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</si>
  <si>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</si>
  <si>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</si>
  <si>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</si>
  <si>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</si>
  <si>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</si>
  <si>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</si>
  <si>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</si>
  <si>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</si>
  <si>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</si>
  <si>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</si>
  <si>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</si>
  <si>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</si>
  <si>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</si>
  <si>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</si>
  <si>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</si>
  <si>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</si>
  <si>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</si>
  <si>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</si>
  <si>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</si>
  <si>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</si>
  <si>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</si>
  <si>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</si>
  <si>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</si>
  <si>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</si>
  <si>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</si>
  <si>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</si>
  <si>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</si>
  <si>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</si>
  <si>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</si>
  <si>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</si>
  <si>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</si>
  <si>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</si>
  <si>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</si>
  <si>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</si>
  <si>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</si>
  <si>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</si>
  <si>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</si>
  <si>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</si>
  <si>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</si>
  <si>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</si>
  <si>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</si>
  <si>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UCY2G101MHD6</t>
  </si>
  <si>
    <t>1.75 @ 100hz</t>
  </si>
  <si>
    <t>Power Inductor:</t>
  </si>
  <si>
    <t>MOSFET:</t>
  </si>
  <si>
    <t>Gate Driver:</t>
  </si>
  <si>
    <t xml:space="preserve">Electrolytic Cap: </t>
  </si>
  <si>
    <t>12V Regulator:</t>
  </si>
  <si>
    <t>MAX5033CUSA+</t>
  </si>
  <si>
    <t>10uF ceramic:</t>
  </si>
  <si>
    <t>C3216X6S2A106K160AC</t>
  </si>
  <si>
    <t>.1uF Ceramic:</t>
  </si>
  <si>
    <t>CGA4J3X7T2E104K125AA</t>
  </si>
  <si>
    <t>1uF Ceramic:</t>
  </si>
  <si>
    <t>GMC31X7R105K100NT</t>
  </si>
  <si>
    <t>SRR1260A-561K</t>
  </si>
  <si>
    <t>Buck Inductor:</t>
  </si>
  <si>
    <t>LDO:</t>
  </si>
  <si>
    <t>ST715CR</t>
  </si>
  <si>
    <t>CAN Transciever:</t>
  </si>
  <si>
    <t>IL 41050TE</t>
  </si>
  <si>
    <t xml:space="preserve">MCU </t>
  </si>
  <si>
    <t>Nucleo-Fk3038</t>
  </si>
  <si>
    <t>P/N:</t>
  </si>
  <si>
    <t>Top current draw:</t>
  </si>
  <si>
    <t>Power Consumed</t>
  </si>
  <si>
    <t>Thermal coefficient JA (C/W):</t>
  </si>
  <si>
    <t xml:space="preserve">Heatsink </t>
  </si>
  <si>
    <t>Max Ambient Temp C:</t>
  </si>
  <si>
    <t>Target Max FET Junction Temp C:</t>
  </si>
  <si>
    <t>Maximum Junction Temp C:</t>
  </si>
  <si>
    <t>Permissible J/A temp diff:</t>
  </si>
  <si>
    <t>FET Power Dissipation (W):</t>
  </si>
  <si>
    <t>Largest Permissible thermal impedance:</t>
  </si>
  <si>
    <t>Thermal coefficient JC (C/W):</t>
  </si>
  <si>
    <t>TIM Parameters:</t>
  </si>
  <si>
    <t>Thermal conductivity (W/MC):</t>
  </si>
  <si>
    <t>Area of application (M^2)</t>
  </si>
  <si>
    <t>Thickness of application (M)</t>
  </si>
  <si>
    <t>Thermal Resistance Case/Sink (C/W):</t>
  </si>
  <si>
    <t>Resultant Values:</t>
  </si>
  <si>
    <t>Max heatsink Resistance Sink/Ambient (C/W)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</si>
</sst>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4" fillId="0" borderId="0" xfId="1" applyAlignment="1">
      <alignment horizontal="left" vertical="center" wrapText="1" indent="1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ichicon/UCY2G101MHD6/2597737" TargetMode="External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dk-corporation/CGA4J3X7T2E104K125AA/2672869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mouser.com/ProductDetail/Infineon-Technologies/IPP075N15N3-G?qs=mzcOS1kGbgcUKRttqIoCLg%3D%3D" TargetMode="External"/><Relationship Id="rId7" Type="http://schemas.openxmlformats.org/officeDocument/2006/relationships/hyperlink" Target="https://www.digikey.com/en/products/detail/tdk-corporation/C3216X6S2A106K160AC/14642034" TargetMode="External"/><Relationship Id="rId12" Type="http://schemas.openxmlformats.org/officeDocument/2006/relationships/hyperlink" Target="https://www.digikey.com/en/products/detail/IL%252041050TE/390-IL41050TE-ND/2262662?utm_campaign=buynow&amp;utm_medium=aggregator&amp;curr=usd&amp;utm_source=octopart" TargetMode="Externa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Wurth-Elektronik/74437529203101?qs=f9yNj16SXrJ9N1gkF91A1Q%3D%3D" TargetMode="External"/><Relationship Id="rId6" Type="http://schemas.openxmlformats.org/officeDocument/2006/relationships/hyperlink" Target="https://www.digikey.com/en/products/detail/analog-devices-inc-maxim-integrated/MAX5033CUSA/1513659" TargetMode="External"/><Relationship Id="rId11" Type="http://schemas.openxmlformats.org/officeDocument/2006/relationships/hyperlink" Target="https://www.digikey.com/en/products/detail/stmicroelectronics/ST715CR/13592617" TargetMode="External"/><Relationship Id="rId5" Type="http://schemas.openxmlformats.org/officeDocument/2006/relationships/hyperlink" Target="https://www.digikey.com/en/products/detail/nichicon/UCY2G101MHD6/2597737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digikey.com/en/products/detail/bourns-inc/SRR1260A-561K/4340231" TargetMode="External"/><Relationship Id="rId4" Type="http://schemas.openxmlformats.org/officeDocument/2006/relationships/hyperlink" Target="https://www.digikey.com/en/products/detail/analog-devices-inc-maxim-integrated/MAX5063DASA/1513485" TargetMode="External"/><Relationship Id="rId9" Type="http://schemas.openxmlformats.org/officeDocument/2006/relationships/hyperlink" Target="https://www.digikey.com/en/products/detail/cal-chip-electronics-inc/GMC31X7R105K100NT/12697998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AC34"/>
  <sheetViews>
    <sheetView tabSelected="1" topLeftCell="K4" zoomScale="70" zoomScaleNormal="70" workbookViewId="0">
      <selection activeCell="Y28" sqref="Y28"/>
    </sheetView>
  </sheetViews>
  <sheetFormatPr defaultRowHeight="14.4" x14ac:dyDescent="0.3"/>
  <cols>
    <col min="1" max="1" width="21.5546875" customWidth="1"/>
    <col min="4" max="4" width="27.21875" bestFit="1" customWidth="1"/>
    <col min="7" max="7" width="32.21875" bestFit="1" customWidth="1"/>
    <col min="8" max="8" width="12.77734375" bestFit="1" customWidth="1"/>
    <col min="10" max="10" width="31.109375" bestFit="1" customWidth="1"/>
    <col min="11" max="11" width="15.77734375" customWidth="1"/>
    <col min="13" max="13" width="20" bestFit="1" customWidth="1"/>
    <col min="18" max="18" width="19" bestFit="1" customWidth="1"/>
    <col min="21" max="21" width="18.5546875" bestFit="1" customWidth="1"/>
    <col min="22" max="22" width="11.77734375" bestFit="1" customWidth="1"/>
    <col min="28" max="28" width="41.21875" bestFit="1" customWidth="1"/>
  </cols>
  <sheetData>
    <row r="1" spans="1:29" x14ac:dyDescent="0.3">
      <c r="A1" s="12" t="s">
        <v>0</v>
      </c>
      <c r="B1" s="12"/>
      <c r="C1" s="12"/>
      <c r="D1" s="12"/>
      <c r="E1" s="12"/>
      <c r="G1" s="14" t="s">
        <v>66</v>
      </c>
      <c r="H1" s="14"/>
      <c r="I1" s="14"/>
    </row>
    <row r="2" spans="1:29" x14ac:dyDescent="0.3">
      <c r="A2" s="12"/>
      <c r="B2" s="12"/>
      <c r="C2" s="12"/>
      <c r="D2" s="12"/>
      <c r="E2" s="12"/>
    </row>
    <row r="3" spans="1:29" x14ac:dyDescent="0.3">
      <c r="A3" t="s">
        <v>1</v>
      </c>
      <c r="B3" t="s">
        <v>2</v>
      </c>
      <c r="G3" t="s">
        <v>67</v>
      </c>
      <c r="H3">
        <f>SUM(K34,K32,K30,K28,H26,H24,N23,Y23)</f>
        <v>25.043733816358454</v>
      </c>
    </row>
    <row r="4" spans="1:29" x14ac:dyDescent="0.3">
      <c r="G4" t="s">
        <v>68</v>
      </c>
      <c r="H4">
        <f>((B19-H3)/B19)</f>
        <v>0.97144255859291362</v>
      </c>
    </row>
    <row r="5" spans="1:29" x14ac:dyDescent="0.3">
      <c r="A5" s="3" t="s">
        <v>13</v>
      </c>
      <c r="D5" s="13" t="s">
        <v>14</v>
      </c>
      <c r="E5" s="13"/>
      <c r="F5" s="13"/>
      <c r="G5" s="13" t="s">
        <v>20</v>
      </c>
      <c r="H5" s="13"/>
      <c r="I5" s="13"/>
      <c r="J5" s="13"/>
      <c r="K5" s="13"/>
      <c r="L5" s="13"/>
      <c r="M5" s="13"/>
      <c r="N5" s="13"/>
    </row>
    <row r="7" spans="1:29" x14ac:dyDescent="0.3">
      <c r="A7" s="1" t="s">
        <v>5</v>
      </c>
      <c r="D7" t="s">
        <v>15</v>
      </c>
      <c r="E7">
        <v>80000</v>
      </c>
      <c r="G7" s="10" t="s">
        <v>21</v>
      </c>
      <c r="H7" s="11"/>
      <c r="J7" s="10" t="s">
        <v>39</v>
      </c>
      <c r="K7" s="11"/>
      <c r="L7" s="11"/>
      <c r="M7" s="10" t="s">
        <v>56</v>
      </c>
      <c r="N7" s="10"/>
      <c r="O7" s="9"/>
      <c r="P7" s="9"/>
      <c r="R7" s="10" t="s">
        <v>99</v>
      </c>
      <c r="S7" s="10"/>
      <c r="U7" s="10" t="s">
        <v>101</v>
      </c>
      <c r="V7" s="11"/>
      <c r="X7" s="1" t="s">
        <v>133</v>
      </c>
      <c r="AB7" s="1" t="s">
        <v>139</v>
      </c>
    </row>
    <row r="8" spans="1:29" x14ac:dyDescent="0.3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  <c r="X8" t="s">
        <v>135</v>
      </c>
      <c r="Y8" t="s">
        <v>134</v>
      </c>
      <c r="AB8" t="s">
        <v>140</v>
      </c>
      <c r="AC8">
        <v>45</v>
      </c>
    </row>
    <row r="9" spans="1:29" x14ac:dyDescent="0.3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  <c r="X9" t="s">
        <v>136</v>
      </c>
      <c r="Y9">
        <v>0.3</v>
      </c>
      <c r="AB9" t="s">
        <v>141</v>
      </c>
      <c r="AC9">
        <v>130</v>
      </c>
    </row>
    <row r="10" spans="1:29" x14ac:dyDescent="0.3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  <c r="X10" t="s">
        <v>76</v>
      </c>
      <c r="Y10">
        <v>12</v>
      </c>
      <c r="AB10" t="s">
        <v>143</v>
      </c>
      <c r="AC10">
        <f>AC9-AC8</f>
        <v>85</v>
      </c>
    </row>
    <row r="11" spans="1:29" x14ac:dyDescent="0.3">
      <c r="D11" t="s">
        <v>18</v>
      </c>
      <c r="E11">
        <v>0.95</v>
      </c>
      <c r="M11" t="s">
        <v>73</v>
      </c>
      <c r="N11" t="s">
        <v>74</v>
      </c>
      <c r="AB11" t="s">
        <v>144</v>
      </c>
      <c r="AC11">
        <f>K26+K29+K31+K33</f>
        <v>5.3462160000000001</v>
      </c>
    </row>
    <row r="12" spans="1:29" x14ac:dyDescent="0.3">
      <c r="A12" s="1" t="s">
        <v>10</v>
      </c>
      <c r="D12" t="s">
        <v>24</v>
      </c>
      <c r="E12">
        <f>E11*B19</f>
        <v>833.11199999999997</v>
      </c>
      <c r="AB12" t="s">
        <v>145</v>
      </c>
      <c r="AC12">
        <f>AC10/AC11</f>
        <v>15.89909573425391</v>
      </c>
    </row>
    <row r="13" spans="1:29" x14ac:dyDescent="0.3">
      <c r="A13" t="s">
        <v>11</v>
      </c>
      <c r="B13">
        <v>96</v>
      </c>
      <c r="D13" t="s">
        <v>50</v>
      </c>
      <c r="E13">
        <f>(B17/B8)</f>
        <v>6</v>
      </c>
      <c r="G13" s="10" t="s">
        <v>26</v>
      </c>
      <c r="H13" s="10"/>
      <c r="J13" s="10" t="s">
        <v>26</v>
      </c>
      <c r="K13" s="11"/>
      <c r="M13" s="10" t="s">
        <v>26</v>
      </c>
      <c r="N13" s="10"/>
      <c r="R13" s="10" t="s">
        <v>26</v>
      </c>
      <c r="S13" s="10"/>
      <c r="U13" s="10" t="s">
        <v>26</v>
      </c>
      <c r="V13" s="11"/>
    </row>
    <row r="14" spans="1:29" x14ac:dyDescent="0.3">
      <c r="D14" t="s">
        <v>19</v>
      </c>
      <c r="E14">
        <f>(E12/B8)/B18</f>
        <v>2.8927499999999999</v>
      </c>
      <c r="G14" t="s">
        <v>30</v>
      </c>
      <c r="H14" s="7">
        <v>74437529203101</v>
      </c>
      <c r="J14" t="s">
        <v>27</v>
      </c>
      <c r="K14" s="6" t="s">
        <v>63</v>
      </c>
      <c r="M14" t="s">
        <v>57</v>
      </c>
      <c r="N14">
        <v>3</v>
      </c>
      <c r="R14" t="s">
        <v>27</v>
      </c>
      <c r="U14" t="s">
        <v>27</v>
      </c>
      <c r="V14" s="4" t="s">
        <v>113</v>
      </c>
      <c r="AB14" s="1" t="s">
        <v>147</v>
      </c>
    </row>
    <row r="15" spans="1:29" x14ac:dyDescent="0.3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  <c r="AB15" s="5" t="s">
        <v>148</v>
      </c>
      <c r="AC15">
        <v>0.79</v>
      </c>
    </row>
    <row r="16" spans="1:29" x14ac:dyDescent="0.3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  <c r="AB16" s="5" t="s">
        <v>149</v>
      </c>
      <c r="AC16">
        <v>1.12E-4</v>
      </c>
    </row>
    <row r="17" spans="1:29" x14ac:dyDescent="0.3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  <c r="V17" t="s">
        <v>114</v>
      </c>
      <c r="AB17" s="5" t="s">
        <v>150</v>
      </c>
      <c r="AC17">
        <v>4.0000000000000003E-5</v>
      </c>
    </row>
    <row r="18" spans="1:29" x14ac:dyDescent="0.3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2</v>
      </c>
      <c r="AB18" s="5" t="s">
        <v>151</v>
      </c>
      <c r="AC18">
        <f>(AC17/AC16)*(1/AC15)</f>
        <v>0.4520795660036166</v>
      </c>
    </row>
    <row r="19" spans="1:29" x14ac:dyDescent="0.3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29" x14ac:dyDescent="0.3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9" x14ac:dyDescent="0.3">
      <c r="G21" s="5" t="s">
        <v>35</v>
      </c>
      <c r="H21">
        <f>E13+(0.5*H20)</f>
        <v>7.4996625000000003</v>
      </c>
      <c r="J21" t="s">
        <v>138</v>
      </c>
      <c r="K21">
        <v>62</v>
      </c>
      <c r="AB21" s="1" t="s">
        <v>152</v>
      </c>
    </row>
    <row r="22" spans="1:29" x14ac:dyDescent="0.3">
      <c r="G22" s="5" t="s">
        <v>38</v>
      </c>
      <c r="H22">
        <f>SQRT(POWER(E13,2) + POWER(H20/SQRT(12),2))</f>
        <v>6.0621499930279485</v>
      </c>
      <c r="J22" t="s">
        <v>146</v>
      </c>
      <c r="K22">
        <v>0.5</v>
      </c>
      <c r="M22" s="10" t="s">
        <v>33</v>
      </c>
      <c r="N22" s="11"/>
      <c r="U22" s="10" t="s">
        <v>33</v>
      </c>
      <c r="V22" s="11"/>
      <c r="X22" s="10" t="s">
        <v>33</v>
      </c>
      <c r="Y22" s="11"/>
      <c r="AB22" t="s">
        <v>153</v>
      </c>
      <c r="AC22">
        <f>AC12-AC18-K22</f>
        <v>14.947016168250293</v>
      </c>
    </row>
    <row r="23" spans="1:29" x14ac:dyDescent="0.3">
      <c r="G23" s="5" t="s">
        <v>36</v>
      </c>
      <c r="H23">
        <f>POWER(H22,2)*H16</f>
        <v>0.84156727211948457</v>
      </c>
      <c r="J23" t="s">
        <v>142</v>
      </c>
      <c r="K23">
        <v>175</v>
      </c>
      <c r="M23" t="s">
        <v>97</v>
      </c>
      <c r="N23">
        <f>B9*((E9*K16*E8) + N15)</f>
        <v>0.37027200000000005</v>
      </c>
      <c r="U23" t="s">
        <v>105</v>
      </c>
      <c r="V23">
        <f>V18*V15</f>
        <v>2E-3</v>
      </c>
      <c r="X23" t="s">
        <v>137</v>
      </c>
      <c r="Y23">
        <f>Y10*Y9</f>
        <v>3.5999999999999996</v>
      </c>
    </row>
    <row r="24" spans="1:29" x14ac:dyDescent="0.3">
      <c r="G24" s="5" t="s">
        <v>37</v>
      </c>
      <c r="H24">
        <f>H23*B8</f>
        <v>2.5247018163584536</v>
      </c>
      <c r="M24" t="s">
        <v>98</v>
      </c>
      <c r="N24">
        <f>N23*B8</f>
        <v>1.1108160000000002</v>
      </c>
      <c r="U24" t="s">
        <v>106</v>
      </c>
      <c r="V24">
        <f>V16/V18</f>
        <v>0.01</v>
      </c>
    </row>
    <row r="25" spans="1:29" x14ac:dyDescent="0.3">
      <c r="G25" s="5" t="s">
        <v>52</v>
      </c>
      <c r="H25">
        <v>1.78E-2</v>
      </c>
      <c r="J25" s="10" t="s">
        <v>33</v>
      </c>
      <c r="K25" s="11"/>
      <c r="U25" t="s">
        <v>108</v>
      </c>
      <c r="V25">
        <f>(H20*E10)/(E8*V23)</f>
        <v>9.2322972656249998E-3</v>
      </c>
    </row>
    <row r="26" spans="1:29" x14ac:dyDescent="0.3">
      <c r="G26" s="5" t="s">
        <v>53</v>
      </c>
      <c r="H26">
        <f>H25*B8</f>
        <v>5.3400000000000003E-2</v>
      </c>
      <c r="J26" t="s">
        <v>42</v>
      </c>
      <c r="K26">
        <f>POWER(K8,2)*K15</f>
        <v>0.12765599999999996</v>
      </c>
      <c r="U26" t="s">
        <v>110</v>
      </c>
      <c r="V26">
        <f>E14/(E9*(1-E10))</f>
        <v>5.6999999999999993</v>
      </c>
    </row>
    <row r="27" spans="1:29" x14ac:dyDescent="0.3">
      <c r="J27" t="s">
        <v>44</v>
      </c>
      <c r="K27">
        <f>POWER(K9,2)*K15</f>
        <v>0.13154400000000005</v>
      </c>
      <c r="U27" t="s">
        <v>111</v>
      </c>
      <c r="V27">
        <f>V26*V16</f>
        <v>0.11399999999999999</v>
      </c>
    </row>
    <row r="28" spans="1:29" x14ac:dyDescent="0.3">
      <c r="J28" t="s">
        <v>43</v>
      </c>
      <c r="K28">
        <f>SUM(K26:K27)*B8</f>
        <v>0.77759999999999996</v>
      </c>
      <c r="U28" t="s">
        <v>112</v>
      </c>
      <c r="V28">
        <f>SQRT(POWER(V25,2) + POWER(V27,2))</f>
        <v>0.11437322812966706</v>
      </c>
    </row>
    <row r="29" spans="1:29" x14ac:dyDescent="0.3">
      <c r="J29" t="s">
        <v>61</v>
      </c>
      <c r="K29">
        <f>B18*E13*K20*E8</f>
        <v>0.86016000000000015</v>
      </c>
    </row>
    <row r="30" spans="1:29" x14ac:dyDescent="0.3">
      <c r="J30" t="s">
        <v>46</v>
      </c>
      <c r="K30">
        <f>K29*B8</f>
        <v>2.5804800000000006</v>
      </c>
    </row>
    <row r="31" spans="1:29" x14ac:dyDescent="0.3">
      <c r="J31" t="s">
        <v>62</v>
      </c>
      <c r="K31">
        <f>(K18/2)*B18*E8</f>
        <v>0.68735999999999997</v>
      </c>
    </row>
    <row r="32" spans="1:29" x14ac:dyDescent="0.3">
      <c r="J32" t="s">
        <v>60</v>
      </c>
      <c r="K32">
        <f>K31*2*B8</f>
        <v>4.1241599999999998</v>
      </c>
    </row>
    <row r="33" spans="10:11" x14ac:dyDescent="0.3">
      <c r="J33" t="s">
        <v>64</v>
      </c>
      <c r="K33">
        <f>K19*B18*E8</f>
        <v>3.6710400000000005</v>
      </c>
    </row>
    <row r="34" spans="10:11" x14ac:dyDescent="0.3">
      <c r="J34" t="s">
        <v>65</v>
      </c>
      <c r="K34">
        <f>K33*B8</f>
        <v>11.013120000000001</v>
      </c>
    </row>
  </sheetData>
  <mergeCells count="19">
    <mergeCell ref="R13:S13"/>
    <mergeCell ref="M13:N13"/>
    <mergeCell ref="M22:N22"/>
    <mergeCell ref="X22:Y22"/>
    <mergeCell ref="A1:E2"/>
    <mergeCell ref="D5:F5"/>
    <mergeCell ref="G5:N5"/>
    <mergeCell ref="G7:H7"/>
    <mergeCell ref="J7:L7"/>
    <mergeCell ref="G13:H13"/>
    <mergeCell ref="J13:K13"/>
    <mergeCell ref="G19:H19"/>
    <mergeCell ref="J25:K25"/>
    <mergeCell ref="G1:I1"/>
    <mergeCell ref="R7:S7"/>
    <mergeCell ref="U7:V7"/>
    <mergeCell ref="U13:V13"/>
    <mergeCell ref="U22:V22"/>
    <mergeCell ref="M7:N7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C08C6835-4918-4DEA-AC7C-FBC8E822285F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D2E-BF7B-44F8-984B-BF407D8DCAAB}">
  <dimension ref="A1:D16"/>
  <sheetViews>
    <sheetView workbookViewId="0">
      <selection activeCell="L5" sqref="L5"/>
    </sheetView>
  </sheetViews>
  <sheetFormatPr defaultRowHeight="14.4" x14ac:dyDescent="0.3"/>
  <cols>
    <col min="1" max="1" width="14.5546875" bestFit="1" customWidth="1"/>
    <col min="2" max="2" width="21.6640625" bestFit="1" customWidth="1"/>
  </cols>
  <sheetData>
    <row r="1" spans="1:4" x14ac:dyDescent="0.3">
      <c r="A1" s="7"/>
    </row>
    <row r="4" spans="1:4" x14ac:dyDescent="0.3">
      <c r="A4" t="s">
        <v>115</v>
      </c>
      <c r="B4" s="7">
        <v>74437529203101</v>
      </c>
    </row>
    <row r="5" spans="1:4" x14ac:dyDescent="0.3">
      <c r="A5" t="s">
        <v>116</v>
      </c>
      <c r="B5" s="6" t="s">
        <v>63</v>
      </c>
    </row>
    <row r="6" spans="1:4" x14ac:dyDescent="0.3">
      <c r="A6" t="s">
        <v>117</v>
      </c>
      <c r="B6" s="4" t="s">
        <v>69</v>
      </c>
    </row>
    <row r="7" spans="1:4" x14ac:dyDescent="0.3">
      <c r="A7" t="s">
        <v>118</v>
      </c>
      <c r="B7" s="4" t="s">
        <v>113</v>
      </c>
    </row>
    <row r="8" spans="1:4" x14ac:dyDescent="0.3">
      <c r="A8" t="s">
        <v>119</v>
      </c>
      <c r="B8" s="4" t="s">
        <v>120</v>
      </c>
    </row>
    <row r="9" spans="1:4" x14ac:dyDescent="0.3">
      <c r="A9" t="s">
        <v>121</v>
      </c>
      <c r="B9" s="4" t="s">
        <v>122</v>
      </c>
    </row>
    <row r="10" spans="1:4" x14ac:dyDescent="0.3">
      <c r="A10" t="s">
        <v>123</v>
      </c>
      <c r="B10" s="4" t="s">
        <v>124</v>
      </c>
    </row>
    <row r="11" spans="1:4" x14ac:dyDescent="0.3">
      <c r="A11" t="s">
        <v>125</v>
      </c>
      <c r="B11" s="4" t="s">
        <v>126</v>
      </c>
    </row>
    <row r="12" spans="1:4" x14ac:dyDescent="0.3">
      <c r="A12" t="s">
        <v>128</v>
      </c>
      <c r="B12" s="6" t="s">
        <v>127</v>
      </c>
      <c r="C12" s="6"/>
      <c r="D12" s="6"/>
    </row>
    <row r="13" spans="1:4" x14ac:dyDescent="0.3">
      <c r="A13" t="s">
        <v>129</v>
      </c>
      <c r="B13" s="6" t="s">
        <v>130</v>
      </c>
      <c r="C13" s="6"/>
      <c r="D13" s="6"/>
    </row>
    <row r="14" spans="1:4" x14ac:dyDescent="0.3">
      <c r="A14" t="s">
        <v>131</v>
      </c>
      <c r="B14" s="6" t="s">
        <v>132</v>
      </c>
      <c r="C14" s="6"/>
      <c r="D14" s="6"/>
    </row>
    <row r="15" spans="1:4" x14ac:dyDescent="0.3">
      <c r="B15" s="6"/>
      <c r="C15" s="6"/>
      <c r="D15" s="6"/>
    </row>
    <row r="16" spans="1:4" x14ac:dyDescent="0.3">
      <c r="B16" s="6"/>
      <c r="C16" s="6"/>
      <c r="D16" s="6"/>
    </row>
  </sheetData>
  <hyperlinks>
    <hyperlink ref="A4" r:id="rId1" display="https://www.mouser.com/ProductDetail/Wurth-Elektronik/74437529203101?qs=f9yNj16SXrJ9N1gkF91A1Q%3D%3D" xr:uid="{9EFE9F91-55C8-4A2B-B2B7-EC6495F07CAD}"/>
    <hyperlink ref="B4" r:id="rId2" display="https://www.mouser.com/ProductDetail/Wurth-Elektronik/74437529203101?qs=f9yNj16SXrJ9N1gkF91A1Q%3D%3D" xr:uid="{7819EBCA-EB69-4C1E-AF42-5A095F5213F8}"/>
    <hyperlink ref="B5" r:id="rId3" xr:uid="{8C47C7BC-E5EA-4A7F-8553-CD6E65C5C5B7}"/>
    <hyperlink ref="B6" r:id="rId4" xr:uid="{A90CD90E-1F29-4EE6-A4EC-961DFAE8E9CF}"/>
    <hyperlink ref="B7" r:id="rId5" xr:uid="{9B171363-0FC1-40E1-87D2-62020BC77A86}"/>
    <hyperlink ref="B8" r:id="rId6" xr:uid="{48522BF1-C64B-4936-9506-19A38019129B}"/>
    <hyperlink ref="B9" r:id="rId7" xr:uid="{43196D4C-8373-4379-8D00-BD043B7B5E79}"/>
    <hyperlink ref="B10" r:id="rId8" xr:uid="{0388FA5F-BAD6-409E-BFE6-BAD8991DB93F}"/>
    <hyperlink ref="B11" r:id="rId9" display="https://www.digikey.com/en/products/detail/cal-chip-electronics-inc/GMC31X7R105K100NT/12697998" xr:uid="{5FA621FA-8195-49BE-A329-951A02254B72}"/>
    <hyperlink ref="B12" r:id="rId10" xr:uid="{731786E7-E83A-40B9-BB1A-68221AAA2B3B}"/>
    <hyperlink ref="B13" r:id="rId11" xr:uid="{BAEA17AE-4224-423B-B603-CDC00085BD0F}"/>
    <hyperlink ref="B14:D14" r:id="rId12" display="IL 41050TE" xr:uid="{2AA44490-8FF9-4866-BCB1-D2ABEC508341}"/>
  </hyperlinks>
  <pageMargins left="0.7" right="0.7" top="0.75" bottom="0.75" header="0.3" footer="0.3"/>
  <pageSetup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4" x14ac:dyDescent="0.3"/>
  <cols>
    <col min="1" max="1" width="21.5546875" customWidth="1"/>
    <col min="4" max="4" width="27.21875" bestFit="1" customWidth="1"/>
    <col min="7" max="7" width="32.21875" bestFit="1" customWidth="1"/>
    <col min="8" max="8" width="11.44140625" customWidth="1"/>
    <col min="10" max="10" width="26.5546875" bestFit="1" customWidth="1"/>
    <col min="11" max="11" width="15.77734375" customWidth="1"/>
    <col min="13" max="13" width="17.77734375" bestFit="1" customWidth="1"/>
    <col min="18" max="18" width="19" bestFit="1" customWidth="1"/>
  </cols>
  <sheetData>
    <row r="1" spans="1:16" x14ac:dyDescent="0.3">
      <c r="A1" s="12" t="s">
        <v>0</v>
      </c>
      <c r="B1" s="12"/>
      <c r="C1" s="12"/>
      <c r="D1" s="12"/>
      <c r="E1" s="12"/>
      <c r="G1" s="14" t="s">
        <v>66</v>
      </c>
      <c r="H1" s="14"/>
      <c r="I1" s="14"/>
    </row>
    <row r="2" spans="1:16" x14ac:dyDescent="0.3">
      <c r="A2" s="12"/>
      <c r="B2" s="12"/>
      <c r="C2" s="12"/>
      <c r="D2" s="12"/>
      <c r="E2" s="12"/>
    </row>
    <row r="3" spans="1:16" x14ac:dyDescent="0.3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">
      <c r="G4" t="s">
        <v>68</v>
      </c>
      <c r="H4">
        <f>((B19-H3)/B19)</f>
        <v>0.95384534969424506</v>
      </c>
    </row>
    <row r="5" spans="1:16" x14ac:dyDescent="0.3">
      <c r="A5" s="2" t="s">
        <v>13</v>
      </c>
      <c r="D5" s="13" t="s">
        <v>14</v>
      </c>
      <c r="E5" s="13"/>
      <c r="F5" s="13"/>
      <c r="G5" s="13" t="s">
        <v>20</v>
      </c>
      <c r="H5" s="13"/>
      <c r="I5" s="13"/>
      <c r="J5" s="13"/>
      <c r="K5" s="13"/>
      <c r="L5" s="13"/>
      <c r="M5" s="13"/>
      <c r="N5" s="13"/>
    </row>
    <row r="7" spans="1:16" x14ac:dyDescent="0.3">
      <c r="A7" s="1" t="s">
        <v>5</v>
      </c>
      <c r="D7" t="s">
        <v>15</v>
      </c>
      <c r="E7">
        <v>450000</v>
      </c>
      <c r="G7" s="10" t="s">
        <v>21</v>
      </c>
      <c r="H7" s="11"/>
      <c r="J7" s="10" t="s">
        <v>39</v>
      </c>
      <c r="K7" s="11"/>
      <c r="L7" s="11"/>
      <c r="M7" s="11" t="s">
        <v>56</v>
      </c>
      <c r="N7" s="11"/>
      <c r="O7" s="11"/>
      <c r="P7" s="11"/>
    </row>
    <row r="8" spans="1:16" x14ac:dyDescent="0.3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">
      <c r="D11" t="s">
        <v>18</v>
      </c>
      <c r="E11">
        <v>0.95</v>
      </c>
      <c r="M11" t="s">
        <v>73</v>
      </c>
      <c r="N11" t="s">
        <v>74</v>
      </c>
    </row>
    <row r="12" spans="1:16" x14ac:dyDescent="0.3">
      <c r="A12" s="1" t="s">
        <v>10</v>
      </c>
      <c r="D12" t="s">
        <v>24</v>
      </c>
      <c r="E12">
        <f>E11*B19</f>
        <v>833.11199999999997</v>
      </c>
    </row>
    <row r="13" spans="1:16" x14ac:dyDescent="0.3">
      <c r="A13" t="s">
        <v>11</v>
      </c>
      <c r="B13">
        <v>96</v>
      </c>
      <c r="D13" t="s">
        <v>50</v>
      </c>
      <c r="E13">
        <f>(B17/E9)</f>
        <v>9</v>
      </c>
      <c r="G13" s="10" t="s">
        <v>26</v>
      </c>
      <c r="H13" s="10"/>
      <c r="J13" s="10" t="s">
        <v>26</v>
      </c>
      <c r="K13" s="11"/>
      <c r="M13" s="10" t="s">
        <v>26</v>
      </c>
      <c r="N13" s="10"/>
    </row>
    <row r="14" spans="1:16" x14ac:dyDescent="0.3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6" t="s">
        <v>63</v>
      </c>
      <c r="M14" t="s">
        <v>57</v>
      </c>
      <c r="N14">
        <v>3</v>
      </c>
    </row>
    <row r="15" spans="1:16" x14ac:dyDescent="0.3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14" x14ac:dyDescent="0.3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">
      <c r="G21" s="5" t="s">
        <v>35</v>
      </c>
      <c r="H21">
        <f>E13+(0.5*H20)</f>
        <v>11.423696969696969</v>
      </c>
    </row>
    <row r="22" spans="1:14" x14ac:dyDescent="0.3">
      <c r="G22" s="5" t="s">
        <v>38</v>
      </c>
      <c r="H22">
        <f>SQRT(POWER(E13,2) + POWER(H20/SQRT(12),2))</f>
        <v>9.1081338557159679</v>
      </c>
      <c r="J22" s="10" t="s">
        <v>33</v>
      </c>
      <c r="K22" s="11"/>
      <c r="M22" s="10" t="s">
        <v>33</v>
      </c>
      <c r="N22" s="10"/>
    </row>
    <row r="23" spans="1:14" x14ac:dyDescent="0.3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">
      <c r="J27" t="s">
        <v>46</v>
      </c>
      <c r="K27">
        <f>K26*E9</f>
        <v>7.2576000000000009</v>
      </c>
    </row>
    <row r="28" spans="1:14" x14ac:dyDescent="0.3">
      <c r="J28" t="s">
        <v>62</v>
      </c>
      <c r="K28">
        <f>(K18/2)*B18*E8</f>
        <v>1.9332</v>
      </c>
    </row>
    <row r="29" spans="1:14" x14ac:dyDescent="0.3">
      <c r="J29" t="s">
        <v>60</v>
      </c>
      <c r="K29">
        <f>K28*2*E9</f>
        <v>7.7328000000000001</v>
      </c>
    </row>
    <row r="30" spans="1:14" x14ac:dyDescent="0.3">
      <c r="J30" t="s">
        <v>64</v>
      </c>
      <c r="K30">
        <f>K19*B18*E8</f>
        <v>10.324800000000002</v>
      </c>
    </row>
    <row r="31" spans="1:14" x14ac:dyDescent="0.3">
      <c r="J31" t="s">
        <v>65</v>
      </c>
      <c r="K31">
        <f>K30*E9</f>
        <v>20.649600000000003</v>
      </c>
    </row>
  </sheetData>
  <mergeCells count="13">
    <mergeCell ref="M13:N13"/>
    <mergeCell ref="M22:N22"/>
    <mergeCell ref="G13:H13"/>
    <mergeCell ref="G19:H19"/>
    <mergeCell ref="J13:K13"/>
    <mergeCell ref="J22:K22"/>
    <mergeCell ref="A1:E2"/>
    <mergeCell ref="D5:F5"/>
    <mergeCell ref="G5:N5"/>
    <mergeCell ref="G7:H7"/>
    <mergeCell ref="J7:L7"/>
    <mergeCell ref="M7:P7"/>
    <mergeCell ref="G1:I1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4" x14ac:dyDescent="0.3"/>
  <cols>
    <col min="1" max="1" width="14.44140625" bestFit="1" customWidth="1"/>
    <col min="2" max="2" width="14.21875" bestFit="1" customWidth="1"/>
    <col min="3" max="3" width="10.21875" bestFit="1" customWidth="1"/>
  </cols>
  <sheetData>
    <row r="1" spans="1:11" x14ac:dyDescent="0.3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">
      <c r="A2" t="s">
        <v>78</v>
      </c>
      <c r="B2" t="s">
        <v>88</v>
      </c>
      <c r="C2">
        <v>1</v>
      </c>
      <c r="D2" s="8" t="s">
        <v>89</v>
      </c>
      <c r="E2">
        <v>0.3</v>
      </c>
      <c r="F2">
        <f>E2*C2</f>
        <v>0.3</v>
      </c>
      <c r="K2" t="s">
        <v>93</v>
      </c>
    </row>
    <row r="3" spans="1:11" x14ac:dyDescent="0.3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">
      <c r="A4" t="s">
        <v>83</v>
      </c>
      <c r="C4">
        <v>1</v>
      </c>
      <c r="K4" t="s">
        <v>94</v>
      </c>
    </row>
    <row r="5" spans="1:11" x14ac:dyDescent="0.3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Multi_String_Single_phase</vt:lpstr>
      <vt:lpstr>Library_Parts_To_Make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Shelby Riggleman</cp:lastModifiedBy>
  <dcterms:created xsi:type="dcterms:W3CDTF">2021-11-13T21:42:04Z</dcterms:created>
  <dcterms:modified xsi:type="dcterms:W3CDTF">2021-12-15T22:28:25Z</dcterms:modified>
</cp:coreProperties>
</file>