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PC\Desktop\Badgerloop\git_repos\solar_car_hardware\MPPT\design\"/>
    </mc:Choice>
  </mc:AlternateContent>
  <xr:revisionPtr revIDLastSave="0" documentId="13_ncr:1_{6CDD8C3A-EEC5-4F74-80A9-7FD56D3A98EA}" xr6:coauthVersionLast="47" xr6:coauthVersionMax="47" xr10:uidLastSave="{00000000-0000-0000-0000-000000000000}"/>
  <bookViews>
    <workbookView xWindow="-110" yWindow="-110" windowWidth="19420" windowHeight="10420" xr2:uid="{632D32AA-A087-40DE-B097-47254B8CA429}"/>
  </bookViews>
  <sheets>
    <sheet name="Multi_String_Single_phase" sheetId="3" r:id="rId1"/>
    <sheet name="Original_Multiphase" sheetId="1" r:id="rId2"/>
    <sheet name="POL_Power_Breakdow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" i="3" l="1"/>
  <c r="V23" i="3" s="1"/>
  <c r="V25" i="3" s="1"/>
  <c r="V27" i="3"/>
  <c r="V26" i="3"/>
  <c r="V24" i="3"/>
  <c r="V8" i="3"/>
  <c r="S8" i="3"/>
  <c r="K20" i="1"/>
  <c r="K26" i="1" s="1"/>
  <c r="N23" i="1"/>
  <c r="N24" i="1" s="1"/>
  <c r="H3" i="3"/>
  <c r="N24" i="3"/>
  <c r="N23" i="3"/>
  <c r="F6" i="4"/>
  <c r="F5" i="4"/>
  <c r="F3" i="4"/>
  <c r="F2" i="4"/>
  <c r="H23" i="3"/>
  <c r="H15" i="3"/>
  <c r="K30" i="1"/>
  <c r="K31" i="1"/>
  <c r="K25" i="3"/>
  <c r="H26" i="3"/>
  <c r="E14" i="3"/>
  <c r="E13" i="3"/>
  <c r="K29" i="1"/>
  <c r="K19" i="3"/>
  <c r="K18" i="3"/>
  <c r="B18" i="3"/>
  <c r="K17" i="3"/>
  <c r="K20" i="3" s="1"/>
  <c r="B17" i="3"/>
  <c r="K16" i="3"/>
  <c r="B16" i="3"/>
  <c r="E10" i="3"/>
  <c r="E8" i="3"/>
  <c r="K30" i="3" s="1"/>
  <c r="K31" i="3" s="1"/>
  <c r="K19" i="1"/>
  <c r="K18" i="1"/>
  <c r="K17" i="1"/>
  <c r="K16" i="1"/>
  <c r="H26" i="1"/>
  <c r="E10" i="1"/>
  <c r="H8" i="1"/>
  <c r="K9" i="1"/>
  <c r="K24" i="1" s="1"/>
  <c r="K8" i="1"/>
  <c r="K23" i="1" s="1"/>
  <c r="K25" i="1" s="1"/>
  <c r="H10" i="1"/>
  <c r="H15" i="1"/>
  <c r="E8" i="1"/>
  <c r="E12" i="1"/>
  <c r="E14" i="1" s="1"/>
  <c r="B19" i="1"/>
  <c r="E13" i="1"/>
  <c r="B18" i="1"/>
  <c r="B17" i="1"/>
  <c r="B16" i="1"/>
  <c r="V28" i="3" l="1"/>
  <c r="H20" i="3"/>
  <c r="K28" i="3"/>
  <c r="K29" i="3" s="1"/>
  <c r="K9" i="3"/>
  <c r="K24" i="3" s="1"/>
  <c r="H8" i="3"/>
  <c r="H10" i="3" s="1"/>
  <c r="H22" i="3"/>
  <c r="H24" i="3" s="1"/>
  <c r="K26" i="3"/>
  <c r="K27" i="3" s="1"/>
  <c r="H21" i="3"/>
  <c r="B19" i="3"/>
  <c r="E12" i="3" s="1"/>
  <c r="K8" i="3"/>
  <c r="K23" i="3" s="1"/>
  <c r="K27" i="1"/>
  <c r="H3" i="1" s="1"/>
  <c r="K28" i="1"/>
  <c r="H9" i="1"/>
  <c r="H20" i="1"/>
  <c r="H22" i="1" s="1"/>
  <c r="H23" i="1" s="1"/>
  <c r="H24" i="1" s="1"/>
  <c r="H4" i="1" l="1"/>
  <c r="H4" i="3"/>
  <c r="H9" i="3"/>
  <c r="H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PC</author>
  </authors>
  <commentList>
    <comment ref="E7" authorId="0" shapeId="0" xr:uid="{C4638315-B48B-48DE-A9B9-BE8E74762BF5}">
      <text>
        <r>
          <rPr>
            <b/>
            <sz val="9"/>
            <color indexed="81"/>
            <rFont val="Tahoma"/>
            <charset val="1"/>
          </rPr>
          <t>S. Riggleman:
For 8 bit PWM Resolution, fPWM = ~280kHz</t>
        </r>
      </text>
    </comment>
    <comment ref="G8" authorId="0" shapeId="0" xr:uid="{6B63245F-A5B5-4702-BCAA-725EB06F4476}">
      <text>
        <r>
          <rPr>
            <b/>
            <sz val="9"/>
            <color indexed="81"/>
            <rFont val="Tahoma"/>
            <charset val="1"/>
          </rPr>
          <t>Windows PC:</t>
        </r>
        <r>
          <rPr>
            <sz val="9"/>
            <color indexed="81"/>
            <rFont val="Tahoma"/>
            <charset val="1"/>
          </rPr>
          <t xml:space="preserve">
Note on operating in DCM vs CCM:https://electronics.stackexchange.com/questions/571412/how-does-the-inductor-current-ripple-influence-a-switch-mode-power-supply</t>
        </r>
      </text>
    </comment>
    <comment ref="H8" authorId="0" shapeId="0" xr:uid="{08DDFE2B-2AFC-4708-BBE9-AA4783C690C1}">
      <text>
        <r>
          <rPr>
            <b/>
            <sz val="9"/>
            <color indexed="81"/>
            <rFont val="Tahoma"/>
            <charset val="1"/>
          </rPr>
          <t>S. Riggleman: 50% comes from diminishing returns of shrinking inductor past ripple value &gt; 50% of avg current</t>
        </r>
      </text>
    </comment>
    <comment ref="N8" authorId="0" shapeId="0" xr:uid="{36FFA6F8-CCA9-41B8-B8DD-5F3C49DC1192}">
      <text>
        <r>
          <rPr>
            <b/>
            <sz val="9"/>
            <color indexed="81"/>
            <rFont val="Tahoma"/>
            <family val="2"/>
          </rPr>
          <t>Shelby R:
Design for MIC4102 for PWM input, add a not gate that can be DNP normally, but populated if need to change dot MIC4103</t>
        </r>
      </text>
    </comment>
    <comment ref="G14" authorId="0" shapeId="0" xr:uid="{2D072AD2-0612-4777-9B01-271BE2591622}">
      <text>
        <r>
          <rPr>
            <b/>
            <sz val="9"/>
            <color indexed="81"/>
            <rFont val="Tahoma"/>
            <family val="2"/>
          </rPr>
          <t>Shelby R:
Alternative Part option:PA4349.104ANLT
Wurth chosen because of AC loss simulator</t>
        </r>
      </text>
    </comment>
    <comment ref="K14" authorId="0" shapeId="0" xr:uid="{7798945C-4F58-4F6F-9D7D-36AC90095635}">
      <text>
        <r>
          <rPr>
            <b/>
            <sz val="9"/>
            <color indexed="81"/>
            <rFont val="Tahoma"/>
            <charset val="1"/>
          </rPr>
          <t>S. Riggleman:
Chose as opposed to D2-Pak package due to chip shortage - 4200 available on Mouser and interchangable if necessary</t>
        </r>
      </text>
    </comment>
    <comment ref="J16" authorId="0" shapeId="0" xr:uid="{AAB8FCD8-8C36-4300-9FE2-D2B8A04F511B}">
      <text>
        <r>
          <rPr>
            <b/>
            <sz val="9"/>
            <color indexed="81"/>
            <rFont val="Tahoma"/>
            <charset val="1"/>
          </rPr>
          <t>Shelby R:
Excellent resource on gate charge characteristics: 
https://www.microsemi.com/document-portal/doc_view/14697-making-use-of-gate-charge-information-in-mosfet-and-igbt-data-sheets</t>
        </r>
      </text>
    </comment>
    <comment ref="K16" authorId="0" shapeId="0" xr:uid="{19BC1F6C-6807-49CB-8B63-D435A2E1D5B0}">
      <text>
        <r>
          <rPr>
            <sz val="9"/>
            <color indexed="81"/>
            <rFont val="Tahoma"/>
            <charset val="1"/>
          </rPr>
          <t>S. Riggleman:
The Total Gate Charge (Qg) is the amount of charge that needs to be injected into the gate electrode to turn ON (drive) the MOSFET.
https://www.rohm.com/electronics-basics/transistors/total-gate-charge</t>
        </r>
      </text>
    </comment>
    <comment ref="J17" authorId="0" shapeId="0" xr:uid="{E03F4A58-934D-4F90-BDBE-944945276722}">
      <text>
        <r>
          <rPr>
            <b/>
            <sz val="9"/>
            <color indexed="81"/>
            <rFont val="Tahoma"/>
            <charset val="1"/>
          </rPr>
          <t>Shelby R:
This is the charge that is relevant for switching losses = Qgd + (Qg-Qgd-Qgth)=Qsw</t>
        </r>
      </text>
    </comment>
    <comment ref="J19" authorId="0" shapeId="0" xr:uid="{CC48B0D2-67F7-4335-82FC-5FA63D01D5B7}">
      <text>
        <r>
          <rPr>
            <b/>
            <sz val="9"/>
            <color indexed="81"/>
            <rFont val="Tahoma"/>
            <charset val="1"/>
          </rPr>
          <t>Helpful page on benefits of low Qrr:
https://efficiencywins.nexperia.com/efficient-products/qrr-overlooked-and-underappreciated-in-efficiency-battle.html</t>
        </r>
      </text>
    </comment>
    <comment ref="H25" authorId="0" shapeId="0" xr:uid="{C6BCF19B-A17F-42C4-8FCB-0C6CA1CFAAA6}">
      <text>
        <r>
          <rPr>
            <b/>
            <sz val="9"/>
            <color indexed="81"/>
            <rFont val="Tahoma"/>
            <family val="2"/>
          </rPr>
          <t>S.Riggleman</t>
        </r>
        <r>
          <rPr>
            <sz val="9"/>
            <color indexed="81"/>
            <rFont val="Tahoma"/>
            <family val="2"/>
          </rPr>
          <t xml:space="preserve">
Taken from Wurth Loss calculator: https://redexpert.we-online.com/redexpert/#/module/7104/selecteditems/74437529203101/productdata/=74437529203101/type/+or+Single+Single_HV/Ir/gte:6A/Tris/lte:80K/Isat/gte:7.5A/applicationbar/LossCalculator/on/frequency/80kHz+0.5/inductorType/Single+Suitable/winding1/6A+DeltaIA+3A+2V+-2V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PC</author>
  </authors>
  <commentList>
    <comment ref="E7" authorId="0" shapeId="0" xr:uid="{5FBF964B-8E52-42FE-A1BE-4091C63B5871}">
      <text>
        <r>
          <rPr>
            <b/>
            <sz val="9"/>
            <color indexed="81"/>
            <rFont val="Tahoma"/>
            <charset val="1"/>
          </rPr>
          <t>S. Riggleman:
For 8 bit PWM Resolution, fPWM = ~280kHz</t>
        </r>
      </text>
    </comment>
    <comment ref="G8" authorId="0" shapeId="0" xr:uid="{8B9B384E-B41C-4BEF-9229-1A0C397CF8FF}">
      <text>
        <r>
          <rPr>
            <b/>
            <sz val="9"/>
            <color indexed="81"/>
            <rFont val="Tahoma"/>
            <charset val="1"/>
          </rPr>
          <t>Windows PC:</t>
        </r>
        <r>
          <rPr>
            <sz val="9"/>
            <color indexed="81"/>
            <rFont val="Tahoma"/>
            <charset val="1"/>
          </rPr>
          <t xml:space="preserve">
Note on operating in DCM vs CCM:https://electronics.stackexchange.com/questions/571412/how-does-the-inductor-current-ripple-influence-a-switch-mode-power-supply</t>
        </r>
      </text>
    </comment>
    <comment ref="H8" authorId="0" shapeId="0" xr:uid="{B0EC1784-8AED-4914-90B7-5529A0924461}">
      <text>
        <r>
          <rPr>
            <b/>
            <sz val="9"/>
            <color indexed="81"/>
            <rFont val="Tahoma"/>
            <charset val="1"/>
          </rPr>
          <t>S. Riggleman: 50% comes from diminishing returns of shrinking inductor past ripple value &gt; 50% of avg current</t>
        </r>
      </text>
    </comment>
    <comment ref="N8" authorId="0" shapeId="0" xr:uid="{F7D3F5F4-4FE0-4C6E-9CF7-F895F338FE31}">
      <text>
        <r>
          <rPr>
            <b/>
            <sz val="9"/>
            <color indexed="81"/>
            <rFont val="Tahoma"/>
            <family val="2"/>
          </rPr>
          <t>Shelby R:
Design for MIC4102 for PWM input, add a not gate that can be DNP normally, but populated if need to change dot MIC4103</t>
        </r>
      </text>
    </comment>
    <comment ref="K14" authorId="0" shapeId="0" xr:uid="{99931F6F-1D2B-4A35-AFF8-CFF17CC6F28A}">
      <text>
        <r>
          <rPr>
            <b/>
            <sz val="9"/>
            <color indexed="81"/>
            <rFont val="Tahoma"/>
            <charset val="1"/>
          </rPr>
          <t>S. Riggleman:
Chose as opposed to D2-Pak package due to chip shortage - 4200 available on Mouser and interchangable if necessary</t>
        </r>
      </text>
    </comment>
    <comment ref="J16" authorId="0" shapeId="0" xr:uid="{2DB8DF83-E7F4-4A3F-9C74-F723186D2C43}">
      <text>
        <r>
          <rPr>
            <b/>
            <sz val="9"/>
            <color indexed="81"/>
            <rFont val="Tahoma"/>
            <charset val="1"/>
          </rPr>
          <t>Shelby R:
Excellent resource on gate charge characteristics: 
https://www.microsemi.com/document-portal/doc_view/14697-making-use-of-gate-charge-information-in-mosfet-and-igbt-data-sheets</t>
        </r>
      </text>
    </comment>
    <comment ref="K16" authorId="0" shapeId="0" xr:uid="{AA3543EF-7AE4-4048-8AB5-AC00A783E811}">
      <text>
        <r>
          <rPr>
            <sz val="9"/>
            <color indexed="81"/>
            <rFont val="Tahoma"/>
            <charset val="1"/>
          </rPr>
          <t>S. Riggleman:
The Total Gate Charge (Qg) is the amount of charge that needs to be injected into the gate electrode to turn ON (drive) the MOSFET.
https://www.rohm.com/electronics-basics/transistors/total-gate-charge</t>
        </r>
      </text>
    </comment>
    <comment ref="J17" authorId="0" shapeId="0" xr:uid="{9F4733D5-1342-4FFD-8C3F-576434C79316}">
      <text>
        <r>
          <rPr>
            <b/>
            <sz val="9"/>
            <color indexed="81"/>
            <rFont val="Tahoma"/>
            <charset val="1"/>
          </rPr>
          <t>Shelby R:
This is the charge that is relevant for switching losses = Qgd + (Qg-Qgd-Qgth)=Qsw</t>
        </r>
      </text>
    </comment>
    <comment ref="J19" authorId="0" shapeId="0" xr:uid="{8FE40EFA-1036-474F-AB52-47115A34EEBB}">
      <text>
        <r>
          <rPr>
            <b/>
            <sz val="9"/>
            <color indexed="81"/>
            <rFont val="Tahoma"/>
            <charset val="1"/>
          </rPr>
          <t>Helpful page on benefits of low Qrr:
https://efficiencywins.nexperia.com/efficient-products/qrr-overlooked-and-underappreciated-in-efficiency-battle.html</t>
        </r>
      </text>
    </comment>
    <comment ref="H25" authorId="0" shapeId="0" xr:uid="{9E58D6B8-560A-4477-B10C-5AA42D61DA6B}">
      <text>
        <r>
          <rPr>
            <b/>
            <sz val="9"/>
            <color indexed="81"/>
            <rFont val="Tahoma"/>
            <family val="2"/>
          </rPr>
          <t>S.Riggleman</t>
        </r>
        <r>
          <rPr>
            <sz val="9"/>
            <color indexed="81"/>
            <rFont val="Tahoma"/>
            <family val="2"/>
          </rPr>
          <t xml:space="preserve">
Taken from coilcraft's loss comparison: https://www.coilcraft.com/en-us/tools/power-inductor-finder/#/search</t>
        </r>
      </text>
    </comment>
  </commentList>
</comments>
</file>

<file path=xl/sharedStrings.xml><?xml version="1.0" encoding="utf-8"?>
<sst xmlns="http://schemas.openxmlformats.org/spreadsheetml/2006/main" count="204" uniqueCount="114">
  <si>
    <t>Multiphase Boost Converter Design</t>
  </si>
  <si>
    <t>Reference:</t>
  </si>
  <si>
    <t>https://www.ti.com/seclit/wp/slup323/slup323.pdf</t>
  </si>
  <si>
    <t>Mpp Vin:</t>
  </si>
  <si>
    <t>Mpp Iin:</t>
  </si>
  <si>
    <t>Solar Array Configuration</t>
  </si>
  <si>
    <t>Number || Strings:</t>
  </si>
  <si>
    <t>String MPP Voltage:</t>
  </si>
  <si>
    <t>String MPP Current (A)</t>
  </si>
  <si>
    <t>Desired Vout:</t>
  </si>
  <si>
    <t>Battery Configuration</t>
  </si>
  <si>
    <t>Battery Nominal Voltage:</t>
  </si>
  <si>
    <t>Converter Input/Output</t>
  </si>
  <si>
    <t>System Specs</t>
  </si>
  <si>
    <t>Other System Constraints</t>
  </si>
  <si>
    <t>Switching Frequency:</t>
  </si>
  <si>
    <t xml:space="preserve">Number phases: </t>
  </si>
  <si>
    <t>MPP Duty Cycle:</t>
  </si>
  <si>
    <t>Assumed efficiency:</t>
  </si>
  <si>
    <t xml:space="preserve">Phase output current:  </t>
  </si>
  <si>
    <t>Component Selection &amp; Losses</t>
  </si>
  <si>
    <t>Inductor</t>
  </si>
  <si>
    <t xml:space="preserve">Allowable Ripple current pkpk </t>
  </si>
  <si>
    <t>Pin</t>
  </si>
  <si>
    <t>Total Output power:</t>
  </si>
  <si>
    <t>Switching Frequency Per Phase:</t>
  </si>
  <si>
    <t>Component Specific Values</t>
  </si>
  <si>
    <t>Part Number:</t>
  </si>
  <si>
    <t>IL Peak (Isat must be &gt;):</t>
  </si>
  <si>
    <t xml:space="preserve">Inductance: </t>
  </si>
  <si>
    <t xml:space="preserve">Part Number: </t>
  </si>
  <si>
    <t>DCR (Ohm):</t>
  </si>
  <si>
    <t>ISAT (A):</t>
  </si>
  <si>
    <t>Resultant Values</t>
  </si>
  <si>
    <t>Ripple Current Pkpk:</t>
  </si>
  <si>
    <t>IL Peak (A):</t>
  </si>
  <si>
    <t>DCR Losses Per Phase (W):</t>
  </si>
  <si>
    <t>Total DCR Losses(W)</t>
  </si>
  <si>
    <t>IL_RMS(A):</t>
  </si>
  <si>
    <t>FET</t>
  </si>
  <si>
    <t>RDSon (ohm):</t>
  </si>
  <si>
    <t>Boost FET RMS Current (A)</t>
  </si>
  <si>
    <t>Boost FET Condution Loss (W):</t>
  </si>
  <si>
    <t>Total Conduction Losses (W):</t>
  </si>
  <si>
    <t>SyncFET Conduction Loss (W):</t>
  </si>
  <si>
    <t>Sync FET RMS Current(A):</t>
  </si>
  <si>
    <t>Total SW Transition Losses (W):</t>
  </si>
  <si>
    <t>Gate Charge(Coul.)</t>
  </si>
  <si>
    <t>Qoss(Coul.)</t>
  </si>
  <si>
    <t>Ballpark Inductor Value:</t>
  </si>
  <si>
    <t>Phase avg input current:</t>
  </si>
  <si>
    <t>VER2923-223</t>
  </si>
  <si>
    <t>Core + Winding Losses Per Phase(W):</t>
  </si>
  <si>
    <t>Total Core Losses (W)</t>
  </si>
  <si>
    <t>Qrr</t>
  </si>
  <si>
    <t>Switching Charge (Coul.)</t>
  </si>
  <si>
    <t>FET Driver</t>
  </si>
  <si>
    <t>Source/Sink Current</t>
  </si>
  <si>
    <t>Turn on time (S)</t>
  </si>
  <si>
    <t>MIC4102</t>
  </si>
  <si>
    <t>Total Qoss Losses (W)</t>
  </si>
  <si>
    <t>SW Transition Losses (Boost) (W):</t>
  </si>
  <si>
    <t>Qoss Losses Per (All) FET:</t>
  </si>
  <si>
    <t>IPP075N15N3 G</t>
  </si>
  <si>
    <t>Qrr losses per (Boost) FET: (W)</t>
  </si>
  <si>
    <t>Total Qrr Losses:(W)</t>
  </si>
  <si>
    <t>Losses &amp; Efficiency</t>
  </si>
  <si>
    <t>Total Power Loss (W):</t>
  </si>
  <si>
    <t>Estimated Efficiency:</t>
  </si>
  <si>
    <t>MAX5063DASA+</t>
  </si>
  <si>
    <t>Alt Part 1:</t>
  </si>
  <si>
    <t>Alt Part 2:</t>
  </si>
  <si>
    <t>MIC4103YM</t>
  </si>
  <si>
    <t>Alt Part 3:</t>
  </si>
  <si>
    <t>MAX15019BASA+</t>
  </si>
  <si>
    <t>Device:</t>
  </si>
  <si>
    <t>Vin</t>
  </si>
  <si>
    <t>Iin</t>
  </si>
  <si>
    <t>NucleoSTM32</t>
  </si>
  <si>
    <t>P/N</t>
  </si>
  <si>
    <t># On board</t>
  </si>
  <si>
    <t>Total Load (A)</t>
  </si>
  <si>
    <t>Gate Driver</t>
  </si>
  <si>
    <t>CAN Transceiver</t>
  </si>
  <si>
    <t>INA240</t>
  </si>
  <si>
    <t>TL072CDR</t>
  </si>
  <si>
    <t>Op Amp</t>
  </si>
  <si>
    <t>Isense Amp</t>
  </si>
  <si>
    <t>NUCLEO-L432KC</t>
  </si>
  <si>
    <t>7 to 12</t>
  </si>
  <si>
    <t>2.7 to 5.5</t>
  </si>
  <si>
    <t>0 to 36</t>
  </si>
  <si>
    <t>Power Tree</t>
  </si>
  <si>
    <t>Solar Array (57.12VOC)</t>
  </si>
  <si>
    <t>12V Buck Converter</t>
  </si>
  <si>
    <t>Nucleo (3.3V onboard converter)</t>
  </si>
  <si>
    <t>Quiescent Current:</t>
  </si>
  <si>
    <t>IC Loss (Per driver) (W)</t>
  </si>
  <si>
    <t>Total IC losses:</t>
  </si>
  <si>
    <t>Cin</t>
  </si>
  <si>
    <t>I_c_in_RMS (A)</t>
  </si>
  <si>
    <t>Cout</t>
  </si>
  <si>
    <t>I_c_out_rms:</t>
  </si>
  <si>
    <t>Capacitance:</t>
  </si>
  <si>
    <t>ESR:</t>
  </si>
  <si>
    <t>Total Capacitance:</t>
  </si>
  <si>
    <t>Total ESR:</t>
  </si>
  <si>
    <t>Ripple current rating:</t>
  </si>
  <si>
    <t>V_c_out_Ripple:</t>
  </si>
  <si>
    <t>Number capacitors:</t>
  </si>
  <si>
    <t>I_C_out</t>
  </si>
  <si>
    <t>V_Cout_Ripple_ISR</t>
  </si>
  <si>
    <t>Vout_ripple (V)</t>
  </si>
  <si>
    <t>ESK107M160AL4AA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</si>
</sst>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 applyAlignment="1">
      <alignment horizontal="left" vertical="center" wrapText="1" indent="1"/>
    </xf>
    <xf numFmtId="0" fontId="0" fillId="0" borderId="0" xfId="0" applyBorder="1" applyAlignment="1">
      <alignment horizontal="center"/>
    </xf>
    <xf numFmtId="0" fontId="4" fillId="0" borderId="0" xfId="1" applyNumberFormat="1" applyAlignment="1">
      <alignment horizontal="left" vertical="center" wrapText="1" indent="1"/>
    </xf>
    <xf numFmtId="16" fontId="0" fillId="0" borderId="0" xfId="0" applyNumberForma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292040</xdr:colOff>
      <xdr:row>2</xdr:row>
      <xdr:rowOff>69460</xdr:rowOff>
    </xdr:from>
    <xdr:to>
      <xdr:col>10</xdr:col>
      <xdr:colOff>292400</xdr:colOff>
      <xdr:row>2</xdr:row>
      <xdr:rowOff>161980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B20E738B-0FA7-4D59-9DAD-7539F2F0A0C1}"/>
                </a:ext>
              </a:extLst>
            </xdr14:cNvPr>
            <xdr14:cNvContentPartPr/>
          </xdr14:nvContentPartPr>
          <xdr14:nvPr macro=""/>
          <xdr14:xfrm>
            <a:off x="7277040" y="437760"/>
            <a:ext cx="360" cy="9252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B20E738B-0FA7-4D59-9DAD-7539F2F0A0C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268040" y="429120"/>
              <a:ext cx="18000" cy="11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292040</xdr:colOff>
      <xdr:row>3</xdr:row>
      <xdr:rowOff>183750</xdr:rowOff>
    </xdr:from>
    <xdr:to>
      <xdr:col>10</xdr:col>
      <xdr:colOff>292400</xdr:colOff>
      <xdr:row>5</xdr:row>
      <xdr:rowOff>15610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50E3EC5-4E1A-4C7A-9A31-9E621139640E}"/>
                </a:ext>
              </a:extLst>
            </xdr14:cNvPr>
            <xdr14:cNvContentPartPr/>
          </xdr14:nvContentPartPr>
          <xdr14:nvPr macro=""/>
          <xdr14:xfrm>
            <a:off x="7277040" y="736200"/>
            <a:ext cx="360" cy="20016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50E3EC5-4E1A-4C7A-9A31-9E6211396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68040" y="727560"/>
              <a:ext cx="18000" cy="21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88760</xdr:colOff>
      <xdr:row>2</xdr:row>
      <xdr:rowOff>24460</xdr:rowOff>
    </xdr:from>
    <xdr:to>
      <xdr:col>12</xdr:col>
      <xdr:colOff>432200</xdr:colOff>
      <xdr:row>3</xdr:row>
      <xdr:rowOff>126870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43A90ADB-E794-422B-BFEB-D9BBB8D2C3BB}"/>
                </a:ext>
              </a:extLst>
            </xdr14:cNvPr>
            <xdr14:cNvContentPartPr/>
          </xdr14:nvContentPartPr>
          <xdr14:nvPr macro=""/>
          <xdr14:xfrm>
            <a:off x="8292960" y="392760"/>
            <a:ext cx="343440" cy="28656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43A90ADB-E794-422B-BFEB-D9BBB8D2C3B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284320" y="383771"/>
              <a:ext cx="361080" cy="3041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145880</xdr:colOff>
      <xdr:row>4</xdr:row>
      <xdr:rowOff>140000</xdr:rowOff>
    </xdr:from>
    <xdr:to>
      <xdr:col>13</xdr:col>
      <xdr:colOff>306800</xdr:colOff>
      <xdr:row>5</xdr:row>
      <xdr:rowOff>133330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1B41614-D051-4C63-8292-C5994BC0B953}"/>
                </a:ext>
              </a:extLst>
            </xdr14:cNvPr>
            <xdr14:cNvContentPartPr/>
          </xdr14:nvContentPartPr>
          <xdr14:nvPr macro=""/>
          <xdr14:xfrm>
            <a:off x="8959680" y="876600"/>
            <a:ext cx="160920" cy="17748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1B41614-D051-4C63-8292-C5994BC0B95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951040" y="867960"/>
              <a:ext cx="178560" cy="19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190160</xdr:colOff>
      <xdr:row>3</xdr:row>
      <xdr:rowOff>36870</xdr:rowOff>
    </xdr:from>
    <xdr:to>
      <xdr:col>13</xdr:col>
      <xdr:colOff>445760</xdr:colOff>
      <xdr:row>4</xdr:row>
      <xdr:rowOff>50720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9460828B-A953-4539-9DB3-B8D4E00BC47F}"/>
                </a:ext>
              </a:extLst>
            </xdr14:cNvPr>
            <xdr14:cNvContentPartPr/>
          </xdr14:nvContentPartPr>
          <xdr14:nvPr macro=""/>
          <xdr14:xfrm>
            <a:off x="9003960" y="589320"/>
            <a:ext cx="255600" cy="19800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9460828B-A953-4539-9DB3-B8D4E00BC47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995320" y="580336"/>
              <a:ext cx="273240" cy="21560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03.6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24575,'0'3'0,"0"4"0,0 6 0,0 5 0,0 2 0,0 0 0,0 1 0,0-1 0,0-1 0,0-1 0,0 0 0,0 0 0,0 3 0,0 0 0,0-2-8191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07.2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24575,'0'544'-1365,"0"-533"-5461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27.4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1 796 24575,'37'-2'0,"1"-1"0,-1-2 0,0-1 0,70-22 0,-79 20 0,1 2 0,-1 0 0,1 2 0,0 2 0,47 1 0,-32 3 0,-21-1 0,0 0 0,46-5 0,-67 3 0,0 1 0,1-1 0,-1 0 0,0 0 0,-1 0 0,1 0 0,0-1 0,0 1 0,0 0 0,-1-1 0,1 1 0,-1-1 0,1 0 0,-1 1 0,1-1 0,-1 0 0,0 0 0,0 0 0,0 0 0,0 0 0,0 0 0,-1 0 0,1 0 0,-1 0 0,1-1 0,-1 1 0,1-3 0,0-9 0,0 0 0,0 0 0,-3-16 0,2 18 0,-3-80-1365,3 74-5461</inkml:trace>
  <inkml:trace contextRef="#ctx0" brushRef="#br0" timeOffset="1788.89">530 55 24575,'0'3'0,"0"7"0,0 5 0,0 2 0,0 2 0,0 1 0,0 0 0,0-1 0,0-1 0,0 1 0,0-4-8191</inkml:trace>
  <inkml:trace contextRef="#ctx0" brushRef="#br0" timeOffset="4564.01">653 73 24575,'2'-1'0,"1"-1"0,0 1 0,0-1 0,-1 1 0,1-1 0,-1 0 0,1 0 0,-1 0 0,3-3 0,4-3 0,-2 2 0,1 1 0,-1 0 0,1 1 0,0 0 0,0 0 0,0 1 0,1-1 0,-1 2 0,1-1 0,0 2 0,11-2 0,-15 2 0,-1 1 0,0 0 0,1 0 0,-1 1 0,0-1 0,0 1 0,0 0 0,1 0 0,-1 1 0,0-1 0,0 1 0,0 0 0,-1 0 0,1 0 0,0 0 0,-1 1 0,1-1 0,-1 1 0,0 0 0,0 0 0,0 0 0,0 1 0,-1-1 0,1 1 0,2 6 0,0 0 0,-1 0 0,-1 0 0,1 0 0,-2 1 0,0-1 0,0 1 0,0 18 0,-1 2 0,-5 44 0,3-71 0,1-1 0,-1 1 0,0-1 0,0 1 0,0-1 0,-1 1 0,1-1 0,-1 0 0,0 0 0,0 0 0,0 0 0,0 0 0,-1 0 0,1 0 0,-1-1 0,0 1 0,1-1 0,-1 0 0,0 0 0,0 0 0,-1 0 0,-4 2 0,3-2 0,-1 0 0,1 0 0,0-1 0,-1 1 0,1-1 0,0-1 0,-1 1 0,1-1 0,-1 0 0,1 0 0,-1 0 0,1-1 0,-1 0 0,-7-2 0,10 2 0,1 0 0,-1-1 0,1 1 0,0 0 0,0-1 0,-1 1 0,1-1 0,0 0 0,0 1 0,0-1 0,1 0 0,-1 0 0,0-1 0,1 1 0,-1 0 0,1 0 0,0-1 0,0 1 0,0-1 0,0 1 0,0-1 0,0 0 0,1 1 0,-1-1 0,1 0 0,0 1 0,0-1 0,0 0 0,0 1 0,0-1 0,1 0 0,0-2 0,-1 1 0,1 1 0,0 0 0,0 0 0,0-1 0,0 1 0,0 0 0,1 0 0,-1 0 0,1 0 0,0 0 0,0 1 0,0-1 0,0 1 0,0-1 0,1 1 0,-1-1 0,1 1 0,0 0 0,-1 0 0,1 1 0,0-1 0,0 0 0,0 1 0,0 0 0,6-2 0,0 2 0,0-1 0,0 2 0,0-1 0,1 1 0,-1 1 0,0-1 0,11 4 0,-17-4 0,0 1 0,0 0 0,0 0 0,0 0 0,0 0 0,0 1 0,0-1 0,0 1 0,-1 0 0,1 0 0,-1 0 0,1 0 0,-1 0 0,0 0 0,0 1 0,0-1 0,0 1 0,0 0 0,0-1 0,-1 1 0,1 0 0,-1 0 0,1 4 0,3 7-455,-2 1 0,4 29 0,-6-30-6371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34.7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1 493 24575,'8'-8'0,"0"1"0,1 0 0,1 1 0,-1 0 0,1 1 0,0-1 0,0 2 0,0 0 0,1 0 0,-1 1 0,1 0 0,20-3 0,9 2 0,0 2 0,51 4 0,-20 0 0,-69-2 0,0 0 0,0 0 0,1-1 0,-1 1 0,0-1 0,0 1 0,1-1 0,-1 0 0,0 1 0,0-1 0,0 0 0,0-1 0,0 1 0,0 0 0,-1-1 0,1 1 0,0 0 0,-1-1 0,1 0 0,0 0 0,-1 1 0,0-1 0,0 0 0,1 0 0,-1 0 0,0 0 0,0 0 0,-1 0 0,1-1 0,0 1 0,-1 0 0,1-4 0,1-8 0,-1 0 0,0 0 0,-1 0 0,-2-19 0,0 11 0,1-223-1365,1 228-5461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6T02:26:36.2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38 24575,'4'-2'0,"0"0"0,0 0 0,1 1 0,-1 0 0,0 0 0,1 0 0,0 0 0,-1 1 0,1 0 0,-1 0 0,9 1 0,-11-1 0,-1 1 0,1-1 0,-1 0 0,0 1 0,1 0 0,-1-1 0,1 1 0,-1 0 0,0 0 0,0 0 0,0 0 0,1 0 0,-1 0 0,0 0 0,0 0 0,0 0 0,0 0 0,-1 1 0,1-1 0,0 0 0,0 1 0,-1-1 0,1 0 0,-1 1 0,1-1 0,-1 1 0,0-1 0,0 1 0,1-1 0,-1 1 0,0-1 0,0 1 0,-1-1 0,1 1 0,0-1 0,0 1 0,-1-1 0,0 3 0,-2 5 0,0 0 0,0-1 0,-1 1 0,0-1 0,-1 0 0,0 0 0,0 0 0,-1-1 0,0 0 0,0 0 0,-7 7 0,12-14 0,1 0 0,0 0 0,0 0 0,0 0 0,0 0 0,0 0 0,0 0 0,0 0 0,0 0 0,0 0 0,0 1 0,0-1 0,0 0 0,-1 0 0,1 0 0,0 0 0,0 0 0,0 0 0,0 0 0,0 1 0,0-1 0,0 0 0,0 0 0,0 0 0,0 0 0,0 0 0,0 0 0,0 0 0,0 1 0,0-1 0,1 0 0,-1 0 0,0 0 0,0 0 0,0 0 0,0 0 0,0 0 0,0 0 0,0 1 0,0-1 0,0 0 0,0 0 0,0 0 0,0 0 0,1 0 0,-1 0 0,0 0 0,0 0 0,0 0 0,0 0 0,0 0 0,0 0 0,0 0 0,1 0 0,10 2 0,16-2 0,-24 0 0,0-1 0,1 1 0,0 0 0,0 0 0,0 0 0,0 1 0,0-1 0,0 1 0,0 0 0,0 0 0,0 0 0,6 4 0,-8-4 0,-1 1 0,1 0 0,0-1 0,0 1 0,-1 0 0,1 0 0,-1 0 0,1 0 0,-1 0 0,0 0 0,0 0 0,0 1 0,0-1 0,0 0 0,0 1 0,-1-1 0,1 0 0,-1 1 0,0-1 0,0 3 0,2 27 0,-1-1 0,-6 42 0,5-70-47,0-1 0,-1 1 0,0-1 0,1 1 0,-1-1 0,0 0 0,0 1 0,0-1 0,-1 0-1,1 0 1,0 0 0,-1 0 0,1 0 0,-1 0 0,0 0 0,0-1 0,0 1 0,0 0 0,0-1 0,0 0 0,0 1 0,0-1-1,-1 0 1,1 0 0,0 0 0,-1-1 0,1 1 0,-4 0 0,-9 2-6779</inkml:trace>
  <inkml:trace contextRef="#ctx0" brushRef="#br0" timeOffset="638.79">372 550 24575</inkml:trace>
  <inkml:trace contextRef="#ctx0" brushRef="#br0" timeOffset="1957.43">442 3 24575,'33'-2'0,"25"1"0,-54 1 0,1 1 0,-1-1 0,1 1 0,-1 0 0,1 0 0,-1 0 0,0 1 0,1 0 0,4 2 0,-6-1 0,-1-1 0,0 0 0,0 1 0,0-1 0,0 1 0,0 0 0,-1 0 0,1 0 0,-1-1 0,0 1 0,0 1 0,0-1 0,0 0 0,0 0 0,-1 0 0,1 0 0,-1 1 0,0 5 0,0 7 0,0 0 0,-4 21 0,2-29 0,2-7 0,-1 0 0,1 0 0,0 0 0,-1 1 0,1-1 0,0 0 0,0 0 0,0 0 0,0 0 0,0 0 0,0 0 0,0 0 0,0 0 0,0 0 0,1 0 0,-1 1 0,0-1 0,1 0 0,-1 0 0,0 0 0,1 0 0,0-1 0,-1 1 0,1 0 0,-1 0 0,1 0 0,0 0 0,0 0 0,-1-1 0,1 1 0,0 0 0,0-1 0,0 1 0,0-1 0,0 1 0,0-1 0,0 1 0,0-1 0,0 0 0,2 1 0,3 2 0,0 0 0,1 0 0,-1 0 0,0 1 0,0 0 0,-1 1 0,1-1 0,4 6 0,-7-6 0,0 0 0,0 0 0,0 1 0,-1-1 0,1 1 0,-1 0 0,0-1 0,-1 1 0,1 0 0,-1 0 0,2 10 0,-3-12 0,2 5 0,-1 1 0,-1 0 0,1-1 0,-2 1 0,0 9 0,1-16 0,-1 0 0,1 0 0,0-1 0,-1 1 0,0 0 0,1 0 0,-1-1 0,0 1 0,0 0 0,0-1 0,0 1 0,0-1 0,0 1 0,-1-1 0,1 0 0,0 1 0,-1-1 0,1 0 0,-1 0 0,0 0 0,1 0 0,-1 0 0,0 0 0,1-1 0,-1 1 0,0-1 0,0 1 0,0-1 0,-2 1 0,-14 0-100,0 0-1,-24-2 1,27 0-964,-6 0-5762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digikey.com/en/products/detail/microchip-technology/MIC4102YM/771653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mouser.com/ProductDetail/Wurth-Elektronik/74437529203101?qs=f9yNj16SXrJ9N1gkF91A1Q%3D%3D" TargetMode="External"/><Relationship Id="rId1" Type="http://schemas.openxmlformats.org/officeDocument/2006/relationships/hyperlink" Target="https://www.mouser.com/ProductDetail/Infineon-Technologies/IPP075N15N3-G?qs=mzcOS1kGbgcUKRttqIoCLg%3D%3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kemet/ESK107M160AL4AA/13176232" TargetMode="External"/><Relationship Id="rId4" Type="http://schemas.openxmlformats.org/officeDocument/2006/relationships/hyperlink" Target="https://www.digikey.com/en/products/detail/analog-devices-inc-maxim-integrated/MAX5063DASA/151348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microchip-technology/MIC4102YM/771653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mouser.com/ProductDetail/Infineon-Technologies/IPP075N15N3-G?qs=mzcOS1kGbgcUKRttqIoCLg%3D%3D" TargetMode="External"/><Relationship Id="rId1" Type="http://schemas.openxmlformats.org/officeDocument/2006/relationships/hyperlink" Target="https://www.coilcraft.com/en-us/products/power/shielded-inductors/high-current-flat-wire/agp-ver/ver2923/ver2923-223/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digikey.com/en/products/detail/analog-devices-inc-maxim-integrated/MAX5063DASA/151348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0EE43-D721-4343-AE35-2BE488142AE4}">
  <dimension ref="A1:V31"/>
  <sheetViews>
    <sheetView tabSelected="1" topLeftCell="F4" zoomScale="70" zoomScaleNormal="70" workbookViewId="0">
      <selection activeCell="V26" sqref="V26"/>
    </sheetView>
  </sheetViews>
  <sheetFormatPr defaultRowHeight="14.5" x14ac:dyDescent="0.35"/>
  <cols>
    <col min="1" max="1" width="21.54296875" customWidth="1"/>
    <col min="4" max="4" width="27.1796875" bestFit="1" customWidth="1"/>
    <col min="7" max="7" width="32.1796875" bestFit="1" customWidth="1"/>
    <col min="8" max="8" width="12.7265625" bestFit="1" customWidth="1"/>
    <col min="10" max="10" width="26.54296875" bestFit="1" customWidth="1"/>
    <col min="11" max="11" width="15.7265625" customWidth="1"/>
    <col min="13" max="13" width="20" bestFit="1" customWidth="1"/>
    <col min="18" max="18" width="19" bestFit="1" customWidth="1"/>
    <col min="21" max="21" width="18.54296875" bestFit="1" customWidth="1"/>
    <col min="22" max="22" width="11.81640625" bestFit="1" customWidth="1"/>
  </cols>
  <sheetData>
    <row r="1" spans="1:22" x14ac:dyDescent="0.35">
      <c r="A1" s="8" t="s">
        <v>0</v>
      </c>
      <c r="B1" s="8"/>
      <c r="C1" s="8"/>
      <c r="D1" s="8"/>
      <c r="E1" s="8"/>
      <c r="G1" s="11" t="s">
        <v>66</v>
      </c>
      <c r="H1" s="11"/>
      <c r="I1" s="11"/>
    </row>
    <row r="2" spans="1:22" x14ac:dyDescent="0.35">
      <c r="A2" s="8"/>
      <c r="B2" s="8"/>
      <c r="C2" s="8"/>
      <c r="D2" s="8"/>
      <c r="E2" s="8"/>
    </row>
    <row r="3" spans="1:22" x14ac:dyDescent="0.35">
      <c r="A3" t="s">
        <v>1</v>
      </c>
      <c r="B3" t="s">
        <v>2</v>
      </c>
      <c r="G3" t="s">
        <v>67</v>
      </c>
      <c r="H3">
        <f>SUM(K31,K29,K27,K25,H26,H24,N23)</f>
        <v>21.443733816358456</v>
      </c>
    </row>
    <row r="4" spans="1:22" x14ac:dyDescent="0.35">
      <c r="G4" t="s">
        <v>68</v>
      </c>
      <c r="H4">
        <f>((B19-H3)/B19)</f>
        <v>0.97554764890490053</v>
      </c>
    </row>
    <row r="5" spans="1:22" x14ac:dyDescent="0.35">
      <c r="A5" s="3" t="s">
        <v>13</v>
      </c>
      <c r="D5" s="9" t="s">
        <v>14</v>
      </c>
      <c r="E5" s="9"/>
      <c r="F5" s="9"/>
      <c r="G5" s="9" t="s">
        <v>20</v>
      </c>
      <c r="H5" s="9"/>
      <c r="I5" s="9"/>
      <c r="J5" s="9"/>
      <c r="K5" s="9"/>
      <c r="L5" s="9"/>
      <c r="M5" s="9"/>
      <c r="N5" s="9"/>
    </row>
    <row r="7" spans="1:22" x14ac:dyDescent="0.35">
      <c r="A7" s="1" t="s">
        <v>5</v>
      </c>
      <c r="D7" t="s">
        <v>15</v>
      </c>
      <c r="E7">
        <v>80000</v>
      </c>
      <c r="G7" s="6" t="s">
        <v>21</v>
      </c>
      <c r="H7" s="7"/>
      <c r="J7" s="6" t="s">
        <v>39</v>
      </c>
      <c r="K7" s="7"/>
      <c r="L7" s="7"/>
      <c r="M7" s="6" t="s">
        <v>56</v>
      </c>
      <c r="N7" s="6"/>
      <c r="O7" s="14"/>
      <c r="P7" s="14"/>
      <c r="R7" s="6" t="s">
        <v>99</v>
      </c>
      <c r="S7" s="6"/>
      <c r="U7" s="6" t="s">
        <v>101</v>
      </c>
      <c r="V7" s="7"/>
    </row>
    <row r="8" spans="1:22" x14ac:dyDescent="0.35">
      <c r="A8" t="s">
        <v>6</v>
      </c>
      <c r="B8">
        <v>3</v>
      </c>
      <c r="D8" t="s">
        <v>25</v>
      </c>
      <c r="E8">
        <f>E7/E9</f>
        <v>80000</v>
      </c>
      <c r="G8" t="s">
        <v>22</v>
      </c>
      <c r="H8">
        <f>E13*0.5</f>
        <v>3</v>
      </c>
      <c r="J8" t="s">
        <v>41</v>
      </c>
      <c r="K8">
        <f>SQRT(E10)*E13</f>
        <v>4.2107006542854597</v>
      </c>
      <c r="M8" t="s">
        <v>27</v>
      </c>
      <c r="N8" s="4" t="s">
        <v>59</v>
      </c>
      <c r="R8" t="s">
        <v>100</v>
      </c>
      <c r="S8">
        <f>H20/SQRT(12)</f>
        <v>0.86583054806858728</v>
      </c>
      <c r="U8" t="s">
        <v>102</v>
      </c>
      <c r="V8">
        <f>E14*SQRT(E10/(1-E10))</f>
        <v>2.849679356962814</v>
      </c>
    </row>
    <row r="9" spans="1:22" x14ac:dyDescent="0.35">
      <c r="A9" t="s">
        <v>7</v>
      </c>
      <c r="B9">
        <v>48.72</v>
      </c>
      <c r="D9" t="s">
        <v>16</v>
      </c>
      <c r="E9">
        <v>1</v>
      </c>
      <c r="G9" t="s">
        <v>49</v>
      </c>
      <c r="H9">
        <f>(B16*E10)/(H8*E8)</f>
        <v>9.9977499999999989E-5</v>
      </c>
      <c r="J9" t="s">
        <v>45</v>
      </c>
      <c r="K9">
        <f>SQRT(1-E10)*E13</f>
        <v>4.2743420546325028</v>
      </c>
      <c r="M9" t="s">
        <v>70</v>
      </c>
      <c r="N9" s="4" t="s">
        <v>69</v>
      </c>
    </row>
    <row r="10" spans="1:22" x14ac:dyDescent="0.35">
      <c r="A10" t="s">
        <v>8</v>
      </c>
      <c r="B10">
        <v>6</v>
      </c>
      <c r="D10" t="s">
        <v>17</v>
      </c>
      <c r="E10">
        <f>(B18-B16)/B18</f>
        <v>0.49249999999999999</v>
      </c>
      <c r="G10" t="s">
        <v>28</v>
      </c>
      <c r="H10">
        <f>(H8/2) + E13</f>
        <v>7.5</v>
      </c>
      <c r="M10" t="s">
        <v>71</v>
      </c>
      <c r="N10" t="s">
        <v>72</v>
      </c>
    </row>
    <row r="11" spans="1:22" x14ac:dyDescent="0.35">
      <c r="D11" t="s">
        <v>18</v>
      </c>
      <c r="E11">
        <v>0.95</v>
      </c>
      <c r="M11" t="s">
        <v>73</v>
      </c>
      <c r="N11" t="s">
        <v>74</v>
      </c>
    </row>
    <row r="12" spans="1:22" x14ac:dyDescent="0.35">
      <c r="A12" s="1" t="s">
        <v>10</v>
      </c>
      <c r="D12" t="s">
        <v>24</v>
      </c>
      <c r="E12">
        <f>E11*B19</f>
        <v>833.11199999999997</v>
      </c>
    </row>
    <row r="13" spans="1:22" x14ac:dyDescent="0.35">
      <c r="A13" t="s">
        <v>11</v>
      </c>
      <c r="B13">
        <v>96</v>
      </c>
      <c r="D13" t="s">
        <v>50</v>
      </c>
      <c r="E13">
        <f>(B17/B8)</f>
        <v>6</v>
      </c>
      <c r="G13" s="6" t="s">
        <v>26</v>
      </c>
      <c r="H13" s="6"/>
      <c r="J13" s="6" t="s">
        <v>26</v>
      </c>
      <c r="K13" s="7"/>
      <c r="M13" s="6" t="s">
        <v>26</v>
      </c>
      <c r="N13" s="6"/>
      <c r="U13" s="6" t="s">
        <v>26</v>
      </c>
      <c r="V13" s="7"/>
    </row>
    <row r="14" spans="1:22" x14ac:dyDescent="0.35">
      <c r="D14" t="s">
        <v>19</v>
      </c>
      <c r="E14">
        <f>(E12/B8)/B18</f>
        <v>2.8927499999999999</v>
      </c>
      <c r="G14" t="s">
        <v>30</v>
      </c>
      <c r="H14" s="12">
        <v>74437529203101</v>
      </c>
      <c r="J14" t="s">
        <v>27</v>
      </c>
      <c r="K14" s="10" t="s">
        <v>63</v>
      </c>
      <c r="M14" t="s">
        <v>57</v>
      </c>
      <c r="N14">
        <v>3</v>
      </c>
      <c r="U14" t="s">
        <v>27</v>
      </c>
      <c r="V14" s="4" t="s">
        <v>113</v>
      </c>
    </row>
    <row r="15" spans="1:22" x14ac:dyDescent="0.35">
      <c r="A15" s="1" t="s">
        <v>12</v>
      </c>
      <c r="G15" t="s">
        <v>29</v>
      </c>
      <c r="H15">
        <f>100*POWER(10,-6)</f>
        <v>9.9999999999999991E-5</v>
      </c>
      <c r="J15" t="s">
        <v>40</v>
      </c>
      <c r="K15">
        <v>7.1999999999999998E-3</v>
      </c>
      <c r="M15" t="s">
        <v>96</v>
      </c>
      <c r="N15">
        <v>2E-3</v>
      </c>
      <c r="U15" t="s">
        <v>103</v>
      </c>
      <c r="V15">
        <f>1000*POWER(10,-6)</f>
        <v>1E-3</v>
      </c>
    </row>
    <row r="16" spans="1:22" x14ac:dyDescent="0.35">
      <c r="A16" t="s">
        <v>3</v>
      </c>
      <c r="B16">
        <f>B9</f>
        <v>48.72</v>
      </c>
      <c r="G16" t="s">
        <v>31</v>
      </c>
      <c r="H16">
        <v>2.29E-2</v>
      </c>
      <c r="J16" t="s">
        <v>47</v>
      </c>
      <c r="K16">
        <f>70*POWER(10,-9)</f>
        <v>7.0000000000000005E-8</v>
      </c>
      <c r="U16" t="s">
        <v>104</v>
      </c>
      <c r="V16">
        <v>0.02</v>
      </c>
    </row>
    <row r="17" spans="1:22" x14ac:dyDescent="0.35">
      <c r="A17" t="s">
        <v>4</v>
      </c>
      <c r="B17">
        <f>B8*B10</f>
        <v>18</v>
      </c>
      <c r="G17" t="s">
        <v>32</v>
      </c>
      <c r="H17">
        <v>9.4</v>
      </c>
      <c r="J17" t="s">
        <v>55</v>
      </c>
      <c r="K17">
        <f>56*POWER(10,-9)</f>
        <v>5.6000000000000005E-8</v>
      </c>
      <c r="U17" t="s">
        <v>107</v>
      </c>
    </row>
    <row r="18" spans="1:22" x14ac:dyDescent="0.35">
      <c r="A18" t="s">
        <v>9</v>
      </c>
      <c r="B18">
        <f>B13</f>
        <v>96</v>
      </c>
      <c r="J18" t="s">
        <v>48</v>
      </c>
      <c r="K18">
        <f>179*POWER(10,-9)</f>
        <v>1.79E-7</v>
      </c>
      <c r="U18" t="s">
        <v>109</v>
      </c>
      <c r="V18">
        <v>1</v>
      </c>
    </row>
    <row r="19" spans="1:22" x14ac:dyDescent="0.35">
      <c r="A19" t="s">
        <v>23</v>
      </c>
      <c r="B19">
        <f>B16*B17</f>
        <v>876.96</v>
      </c>
      <c r="G19" s="6" t="s">
        <v>33</v>
      </c>
      <c r="H19" s="6"/>
      <c r="J19" t="s">
        <v>54</v>
      </c>
      <c r="K19">
        <f>478*POWER(10,-9)</f>
        <v>4.7800000000000002E-7</v>
      </c>
    </row>
    <row r="20" spans="1:22" x14ac:dyDescent="0.35">
      <c r="G20" s="5" t="s">
        <v>34</v>
      </c>
      <c r="H20">
        <f>(B16*E10)/(H15*E8)</f>
        <v>2.9993250000000002</v>
      </c>
      <c r="J20" t="s">
        <v>58</v>
      </c>
      <c r="K20">
        <f>K17/N14</f>
        <v>1.8666666666666668E-8</v>
      </c>
    </row>
    <row r="21" spans="1:22" x14ac:dyDescent="0.35">
      <c r="G21" s="5" t="s">
        <v>35</v>
      </c>
      <c r="H21">
        <f>E13+(0.5*H20)</f>
        <v>7.4996625000000003</v>
      </c>
    </row>
    <row r="22" spans="1:22" x14ac:dyDescent="0.35">
      <c r="G22" s="5" t="s">
        <v>38</v>
      </c>
      <c r="H22">
        <f>SQRT(POWER(E13,2) + POWER(H20/SQRT(12),2))</f>
        <v>6.0621499930279485</v>
      </c>
      <c r="J22" s="6" t="s">
        <v>33</v>
      </c>
      <c r="K22" s="7"/>
      <c r="M22" s="6" t="s">
        <v>33</v>
      </c>
      <c r="N22" s="7"/>
      <c r="U22" s="6" t="s">
        <v>33</v>
      </c>
      <c r="V22" s="7"/>
    </row>
    <row r="23" spans="1:22" x14ac:dyDescent="0.35">
      <c r="G23" s="5" t="s">
        <v>36</v>
      </c>
      <c r="H23">
        <f>POWER(H22,2)*H16</f>
        <v>0.84156727211948457</v>
      </c>
      <c r="J23" t="s">
        <v>42</v>
      </c>
      <c r="K23">
        <f>POWER(K8,2)*K15</f>
        <v>0.12765599999999996</v>
      </c>
      <c r="M23" t="s">
        <v>97</v>
      </c>
      <c r="N23">
        <f>B9*((E9*K16*E8) + N15)</f>
        <v>0.37027200000000005</v>
      </c>
      <c r="U23" t="s">
        <v>105</v>
      </c>
      <c r="V23">
        <f>V18*V15</f>
        <v>1E-3</v>
      </c>
    </row>
    <row r="24" spans="1:22" x14ac:dyDescent="0.35">
      <c r="G24" s="5" t="s">
        <v>37</v>
      </c>
      <c r="H24">
        <f>H23*B8</f>
        <v>2.5247018163584536</v>
      </c>
      <c r="J24" t="s">
        <v>44</v>
      </c>
      <c r="K24">
        <f>POWER(K9,2)*K15</f>
        <v>0.13154400000000005</v>
      </c>
      <c r="M24" t="s">
        <v>98</v>
      </c>
      <c r="N24">
        <f>N23*B8</f>
        <v>1.1108160000000002</v>
      </c>
      <c r="U24" t="s">
        <v>106</v>
      </c>
      <c r="V24">
        <f>V16/V18</f>
        <v>0.02</v>
      </c>
    </row>
    <row r="25" spans="1:22" x14ac:dyDescent="0.35">
      <c r="G25" s="5" t="s">
        <v>52</v>
      </c>
      <c r="H25">
        <v>1.78E-2</v>
      </c>
      <c r="J25" t="s">
        <v>43</v>
      </c>
      <c r="K25">
        <f>SUM(K23:K24)*B8</f>
        <v>0.77759999999999996</v>
      </c>
      <c r="U25" t="s">
        <v>108</v>
      </c>
      <c r="V25">
        <f>(H20*E10)/(E8*V23)</f>
        <v>1.846459453125E-2</v>
      </c>
    </row>
    <row r="26" spans="1:22" x14ac:dyDescent="0.35">
      <c r="G26" s="5" t="s">
        <v>53</v>
      </c>
      <c r="H26">
        <f>H25*B8</f>
        <v>5.3400000000000003E-2</v>
      </c>
      <c r="J26" t="s">
        <v>61</v>
      </c>
      <c r="K26">
        <f>B18*E13*K20*E8</f>
        <v>0.86016000000000015</v>
      </c>
      <c r="U26" t="s">
        <v>110</v>
      </c>
      <c r="V26">
        <f>E14/(E9*(1-E10))</f>
        <v>5.6999999999999993</v>
      </c>
    </row>
    <row r="27" spans="1:22" x14ac:dyDescent="0.35">
      <c r="J27" t="s">
        <v>46</v>
      </c>
      <c r="K27">
        <f>K26*B8</f>
        <v>2.5804800000000006</v>
      </c>
      <c r="U27" t="s">
        <v>111</v>
      </c>
      <c r="V27">
        <f>V26*V16</f>
        <v>0.11399999999999999</v>
      </c>
    </row>
    <row r="28" spans="1:22" x14ac:dyDescent="0.35">
      <c r="J28" t="s">
        <v>62</v>
      </c>
      <c r="K28">
        <f>(K18/2)*B18*E8</f>
        <v>0.68735999999999997</v>
      </c>
      <c r="U28" t="s">
        <v>112</v>
      </c>
      <c r="V28">
        <f>SQRT(POWER(V25,2) + POWER(V27,2))</f>
        <v>0.11548567552386514</v>
      </c>
    </row>
    <row r="29" spans="1:22" x14ac:dyDescent="0.35">
      <c r="J29" t="s">
        <v>60</v>
      </c>
      <c r="K29">
        <f>K28*2*B8</f>
        <v>4.1241599999999998</v>
      </c>
    </row>
    <row r="30" spans="1:22" x14ac:dyDescent="0.35">
      <c r="J30" t="s">
        <v>64</v>
      </c>
      <c r="K30">
        <f>K19*B18*E8</f>
        <v>3.6710400000000005</v>
      </c>
    </row>
    <row r="31" spans="1:22" x14ac:dyDescent="0.35">
      <c r="J31" t="s">
        <v>65</v>
      </c>
      <c r="K31">
        <f>K30*B8</f>
        <v>11.013120000000001</v>
      </c>
    </row>
  </sheetData>
  <mergeCells count="17">
    <mergeCell ref="R7:S7"/>
    <mergeCell ref="U7:V7"/>
    <mergeCell ref="U13:V13"/>
    <mergeCell ref="U22:V22"/>
    <mergeCell ref="M7:N7"/>
    <mergeCell ref="G13:H13"/>
    <mergeCell ref="J13:K13"/>
    <mergeCell ref="G19:H19"/>
    <mergeCell ref="J22:K22"/>
    <mergeCell ref="G1:I1"/>
    <mergeCell ref="M13:N13"/>
    <mergeCell ref="M22:N22"/>
    <mergeCell ref="A1:E2"/>
    <mergeCell ref="D5:F5"/>
    <mergeCell ref="G5:N5"/>
    <mergeCell ref="G7:H7"/>
    <mergeCell ref="J7:L7"/>
  </mergeCells>
  <hyperlinks>
    <hyperlink ref="K14" r:id="rId1" xr:uid="{0659C5BF-1BC6-4969-8EFC-68C7F5058594}"/>
    <hyperlink ref="H14" r:id="rId2" display="https://www.mouser.com/ProductDetail/Wurth-Elektronik/74437529203101?qs=f9yNj16SXrJ9N1gkF91A1Q%3D%3D" xr:uid="{C5698292-4A4E-457B-A7B0-B92AF5852830}"/>
    <hyperlink ref="N8" r:id="rId3" xr:uid="{60702E27-9954-4BEA-853A-9CFF3E8394F2}"/>
    <hyperlink ref="N9" r:id="rId4" xr:uid="{7D8684E0-555C-4A45-AC83-3F8666047795}"/>
    <hyperlink ref="V14" r:id="rId5" xr:uid="{79EF8A0C-D5B6-4917-A849-CBA41EF36D1E}"/>
  </hyperlinks>
  <pageMargins left="0.7" right="0.7" top="0.75" bottom="0.75" header="0.3" footer="0.3"/>
  <pageSetup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1004-1896-46EC-BBDE-67F57C6F91C3}">
  <dimension ref="A1:P31"/>
  <sheetViews>
    <sheetView topLeftCell="C1" zoomScale="70" zoomScaleNormal="70" workbookViewId="0">
      <selection activeCell="K21" sqref="K21"/>
    </sheetView>
  </sheetViews>
  <sheetFormatPr defaultRowHeight="14.5" x14ac:dyDescent="0.35"/>
  <cols>
    <col min="1" max="1" width="21.54296875" customWidth="1"/>
    <col min="4" max="4" width="27.1796875" bestFit="1" customWidth="1"/>
    <col min="7" max="7" width="32.1796875" bestFit="1" customWidth="1"/>
    <col min="8" max="8" width="11.453125" customWidth="1"/>
    <col min="10" max="10" width="26.54296875" bestFit="1" customWidth="1"/>
    <col min="11" max="11" width="15.7265625" customWidth="1"/>
    <col min="13" max="13" width="17.7265625" bestFit="1" customWidth="1"/>
    <col min="18" max="18" width="19" bestFit="1" customWidth="1"/>
  </cols>
  <sheetData>
    <row r="1" spans="1:16" x14ac:dyDescent="0.35">
      <c r="A1" s="8" t="s">
        <v>0</v>
      </c>
      <c r="B1" s="8"/>
      <c r="C1" s="8"/>
      <c r="D1" s="8"/>
      <c r="E1" s="8"/>
      <c r="G1" s="11" t="s">
        <v>66</v>
      </c>
      <c r="H1" s="11"/>
      <c r="I1" s="11"/>
    </row>
    <row r="2" spans="1:16" x14ac:dyDescent="0.35">
      <c r="A2" s="8"/>
      <c r="B2" s="8"/>
      <c r="C2" s="8"/>
      <c r="D2" s="8"/>
      <c r="E2" s="8"/>
    </row>
    <row r="3" spans="1:16" x14ac:dyDescent="0.35">
      <c r="A3" t="s">
        <v>1</v>
      </c>
      <c r="B3" t="s">
        <v>2</v>
      </c>
      <c r="G3" t="s">
        <v>67</v>
      </c>
      <c r="H3">
        <f>SUM(K31,K29,K27,K25,H26,H24)</f>
        <v>40.475782132134938</v>
      </c>
    </row>
    <row r="4" spans="1:16" x14ac:dyDescent="0.35">
      <c r="G4" t="s">
        <v>68</v>
      </c>
      <c r="H4">
        <f>((B19-H3)/B19)</f>
        <v>0.95384534969424506</v>
      </c>
    </row>
    <row r="5" spans="1:16" x14ac:dyDescent="0.35">
      <c r="A5" s="2" t="s">
        <v>13</v>
      </c>
      <c r="D5" s="9" t="s">
        <v>14</v>
      </c>
      <c r="E5" s="9"/>
      <c r="F5" s="9"/>
      <c r="G5" s="9" t="s">
        <v>20</v>
      </c>
      <c r="H5" s="9"/>
      <c r="I5" s="9"/>
      <c r="J5" s="9"/>
      <c r="K5" s="9"/>
      <c r="L5" s="9"/>
      <c r="M5" s="9"/>
      <c r="N5" s="9"/>
    </row>
    <row r="7" spans="1:16" x14ac:dyDescent="0.35">
      <c r="A7" s="1" t="s">
        <v>5</v>
      </c>
      <c r="D7" t="s">
        <v>15</v>
      </c>
      <c r="E7">
        <v>450000</v>
      </c>
      <c r="G7" s="6" t="s">
        <v>21</v>
      </c>
      <c r="H7" s="7"/>
      <c r="J7" s="6" t="s">
        <v>39</v>
      </c>
      <c r="K7" s="7"/>
      <c r="L7" s="7"/>
      <c r="M7" s="7" t="s">
        <v>56</v>
      </c>
      <c r="N7" s="7"/>
      <c r="O7" s="7"/>
      <c r="P7" s="7"/>
    </row>
    <row r="8" spans="1:16" x14ac:dyDescent="0.35">
      <c r="A8" t="s">
        <v>6</v>
      </c>
      <c r="B8">
        <v>3</v>
      </c>
      <c r="D8" t="s">
        <v>25</v>
      </c>
      <c r="E8">
        <f>E7/E9</f>
        <v>225000</v>
      </c>
      <c r="G8" t="s">
        <v>22</v>
      </c>
      <c r="H8">
        <f>E13*0.5</f>
        <v>4.5</v>
      </c>
      <c r="J8" t="s">
        <v>41</v>
      </c>
      <c r="K8">
        <f>SQRT(E10)*E13</f>
        <v>6.3160509814281891</v>
      </c>
      <c r="M8" t="s">
        <v>27</v>
      </c>
      <c r="N8" s="4" t="s">
        <v>59</v>
      </c>
    </row>
    <row r="9" spans="1:16" x14ac:dyDescent="0.35">
      <c r="A9" t="s">
        <v>7</v>
      </c>
      <c r="B9">
        <v>48.72</v>
      </c>
      <c r="D9" t="s">
        <v>16</v>
      </c>
      <c r="E9">
        <v>2</v>
      </c>
      <c r="G9" t="s">
        <v>49</v>
      </c>
      <c r="H9">
        <f>(B16*E10)/(H8*E8)</f>
        <v>2.3698370370370368E-5</v>
      </c>
      <c r="J9" t="s">
        <v>45</v>
      </c>
      <c r="K9">
        <f>SQRT(1-E10)*E13</f>
        <v>6.4115130819487538</v>
      </c>
      <c r="M9" t="s">
        <v>70</v>
      </c>
      <c r="N9" s="4" t="s">
        <v>69</v>
      </c>
    </row>
    <row r="10" spans="1:16" x14ac:dyDescent="0.35">
      <c r="A10" t="s">
        <v>8</v>
      </c>
      <c r="B10">
        <v>6</v>
      </c>
      <c r="D10" t="s">
        <v>17</v>
      </c>
      <c r="E10">
        <f>(B18-B16)/B18</f>
        <v>0.49249999999999999</v>
      </c>
      <c r="G10" t="s">
        <v>28</v>
      </c>
      <c r="H10">
        <f>(H8/2) + E13</f>
        <v>11.25</v>
      </c>
      <c r="M10" t="s">
        <v>71</v>
      </c>
      <c r="N10" t="s">
        <v>72</v>
      </c>
    </row>
    <row r="11" spans="1:16" x14ac:dyDescent="0.35">
      <c r="D11" t="s">
        <v>18</v>
      </c>
      <c r="E11">
        <v>0.95</v>
      </c>
      <c r="M11" t="s">
        <v>73</v>
      </c>
      <c r="N11" t="s">
        <v>74</v>
      </c>
    </row>
    <row r="12" spans="1:16" x14ac:dyDescent="0.35">
      <c r="A12" s="1" t="s">
        <v>10</v>
      </c>
      <c r="D12" t="s">
        <v>24</v>
      </c>
      <c r="E12">
        <f>E11*B19</f>
        <v>833.11199999999997</v>
      </c>
    </row>
    <row r="13" spans="1:16" x14ac:dyDescent="0.35">
      <c r="A13" t="s">
        <v>11</v>
      </c>
      <c r="B13">
        <v>96</v>
      </c>
      <c r="D13" t="s">
        <v>50</v>
      </c>
      <c r="E13">
        <f>(B17/E9)</f>
        <v>9</v>
      </c>
      <c r="G13" s="6" t="s">
        <v>26</v>
      </c>
      <c r="H13" s="6"/>
      <c r="J13" s="6" t="s">
        <v>26</v>
      </c>
      <c r="K13" s="7"/>
      <c r="M13" s="6" t="s">
        <v>26</v>
      </c>
      <c r="N13" s="6"/>
    </row>
    <row r="14" spans="1:16" x14ac:dyDescent="0.35">
      <c r="D14" t="s">
        <v>19</v>
      </c>
      <c r="E14">
        <f>(E12/E9)/B18</f>
        <v>4.3391250000000001</v>
      </c>
      <c r="G14" t="s">
        <v>30</v>
      </c>
      <c r="H14" s="4" t="s">
        <v>51</v>
      </c>
      <c r="J14" t="s">
        <v>27</v>
      </c>
      <c r="K14" s="10" t="s">
        <v>63</v>
      </c>
      <c r="M14" t="s">
        <v>57</v>
      </c>
      <c r="N14">
        <v>3</v>
      </c>
    </row>
    <row r="15" spans="1:16" x14ac:dyDescent="0.35">
      <c r="A15" s="1" t="s">
        <v>12</v>
      </c>
      <c r="G15" t="s">
        <v>29</v>
      </c>
      <c r="H15">
        <f>22*POWER(10,-6)</f>
        <v>2.1999999999999999E-5</v>
      </c>
      <c r="J15" t="s">
        <v>40</v>
      </c>
      <c r="K15">
        <v>7.1999999999999998E-3</v>
      </c>
      <c r="M15" t="s">
        <v>96</v>
      </c>
      <c r="N15">
        <v>2E-3</v>
      </c>
    </row>
    <row r="16" spans="1:16" x14ac:dyDescent="0.35">
      <c r="A16" t="s">
        <v>3</v>
      </c>
      <c r="B16">
        <f>B9</f>
        <v>48.72</v>
      </c>
      <c r="G16" t="s">
        <v>31</v>
      </c>
      <c r="H16">
        <v>2.5999999999999999E-3</v>
      </c>
      <c r="J16" t="s">
        <v>47</v>
      </c>
      <c r="K16">
        <f>70*POWER(10,-9)</f>
        <v>7.0000000000000005E-8</v>
      </c>
    </row>
    <row r="17" spans="1:14" x14ac:dyDescent="0.35">
      <c r="A17" t="s">
        <v>4</v>
      </c>
      <c r="B17">
        <f>B8*B10</f>
        <v>18</v>
      </c>
      <c r="G17" t="s">
        <v>32</v>
      </c>
      <c r="H17">
        <v>14.7</v>
      </c>
      <c r="J17" t="s">
        <v>55</v>
      </c>
      <c r="K17">
        <f>56*POWER(10,-9)</f>
        <v>5.6000000000000005E-8</v>
      </c>
    </row>
    <row r="18" spans="1:14" x14ac:dyDescent="0.35">
      <c r="A18" t="s">
        <v>9</v>
      </c>
      <c r="B18">
        <f>B13</f>
        <v>96</v>
      </c>
      <c r="J18" t="s">
        <v>48</v>
      </c>
      <c r="K18">
        <f>179*POWER(10,-9)</f>
        <v>1.79E-7</v>
      </c>
    </row>
    <row r="19" spans="1:14" x14ac:dyDescent="0.35">
      <c r="A19" t="s">
        <v>23</v>
      </c>
      <c r="B19">
        <f>B16*B17</f>
        <v>876.96</v>
      </c>
      <c r="G19" s="6" t="s">
        <v>33</v>
      </c>
      <c r="H19" s="6"/>
      <c r="J19" t="s">
        <v>54</v>
      </c>
      <c r="K19">
        <f>478*POWER(10,-9)</f>
        <v>4.7800000000000002E-7</v>
      </c>
    </row>
    <row r="20" spans="1:14" x14ac:dyDescent="0.35">
      <c r="G20" s="5" t="s">
        <v>34</v>
      </c>
      <c r="H20">
        <f>(B16*E10)/(H15*E8)</f>
        <v>4.8473939393939389</v>
      </c>
      <c r="J20" t="s">
        <v>58</v>
      </c>
      <c r="K20">
        <f>K17/N14</f>
        <v>1.8666666666666668E-8</v>
      </c>
    </row>
    <row r="21" spans="1:14" x14ac:dyDescent="0.35">
      <c r="G21" s="5" t="s">
        <v>35</v>
      </c>
      <c r="H21">
        <f>E13+(0.5*H20)</f>
        <v>11.423696969696969</v>
      </c>
    </row>
    <row r="22" spans="1:14" x14ac:dyDescent="0.35">
      <c r="G22" s="5" t="s">
        <v>38</v>
      </c>
      <c r="H22">
        <f>SQRT(POWER(E13,2) + POWER(H20/SQRT(12),2))</f>
        <v>9.1081338557159679</v>
      </c>
      <c r="J22" s="6" t="s">
        <v>33</v>
      </c>
      <c r="K22" s="7"/>
      <c r="M22" s="6" t="s">
        <v>33</v>
      </c>
      <c r="N22" s="6"/>
    </row>
    <row r="23" spans="1:14" x14ac:dyDescent="0.35">
      <c r="G23" s="5" t="s">
        <v>36</v>
      </c>
      <c r="H23">
        <f>POWER(H22,2)*H16</f>
        <v>0.21569106606746252</v>
      </c>
      <c r="J23" t="s">
        <v>42</v>
      </c>
      <c r="K23">
        <f>POWER(K8,2)*K15</f>
        <v>0.28722599999999993</v>
      </c>
      <c r="M23" t="s">
        <v>97</v>
      </c>
      <c r="N23">
        <f>B9*((E9*K16*E8) + N15)</f>
        <v>1.63212</v>
      </c>
    </row>
    <row r="24" spans="1:14" x14ac:dyDescent="0.35">
      <c r="G24" s="5" t="s">
        <v>37</v>
      </c>
      <c r="H24">
        <f>H23*E9</f>
        <v>0.43138213213492504</v>
      </c>
      <c r="J24" t="s">
        <v>44</v>
      </c>
      <c r="K24">
        <f>POWER(K9,2)*K15</f>
        <v>0.29597400000000007</v>
      </c>
      <c r="M24" t="s">
        <v>98</v>
      </c>
      <c r="N24">
        <f>N23*B8</f>
        <v>4.8963599999999996</v>
      </c>
    </row>
    <row r="25" spans="1:14" x14ac:dyDescent="0.35">
      <c r="G25" s="5" t="s">
        <v>52</v>
      </c>
      <c r="H25">
        <v>1.619</v>
      </c>
      <c r="J25" t="s">
        <v>43</v>
      </c>
      <c r="K25">
        <f>SUM(K23:K24)*E9</f>
        <v>1.1663999999999999</v>
      </c>
    </row>
    <row r="26" spans="1:14" x14ac:dyDescent="0.35">
      <c r="G26" s="5" t="s">
        <v>53</v>
      </c>
      <c r="H26">
        <f>H25*E9</f>
        <v>3.238</v>
      </c>
      <c r="J26" t="s">
        <v>61</v>
      </c>
      <c r="K26">
        <f>B18*E13*K20*E8</f>
        <v>3.6288000000000005</v>
      </c>
    </row>
    <row r="27" spans="1:14" x14ac:dyDescent="0.35">
      <c r="J27" t="s">
        <v>46</v>
      </c>
      <c r="K27">
        <f>K26*E9</f>
        <v>7.2576000000000009</v>
      </c>
    </row>
    <row r="28" spans="1:14" x14ac:dyDescent="0.35">
      <c r="J28" t="s">
        <v>62</v>
      </c>
      <c r="K28">
        <f>(K18/2)*B18*E8</f>
        <v>1.9332</v>
      </c>
    </row>
    <row r="29" spans="1:14" x14ac:dyDescent="0.35">
      <c r="J29" t="s">
        <v>60</v>
      </c>
      <c r="K29">
        <f>K28*2*E9</f>
        <v>7.7328000000000001</v>
      </c>
    </row>
    <row r="30" spans="1:14" x14ac:dyDescent="0.35">
      <c r="J30" t="s">
        <v>64</v>
      </c>
      <c r="K30">
        <f>K19*B18*E8</f>
        <v>10.324800000000002</v>
      </c>
    </row>
    <row r="31" spans="1:14" x14ac:dyDescent="0.35">
      <c r="J31" t="s">
        <v>65</v>
      </c>
      <c r="K31">
        <f>K30*E9</f>
        <v>20.649600000000003</v>
      </c>
    </row>
  </sheetData>
  <mergeCells count="13">
    <mergeCell ref="G1:I1"/>
    <mergeCell ref="M13:N13"/>
    <mergeCell ref="M22:N22"/>
    <mergeCell ref="G13:H13"/>
    <mergeCell ref="G19:H19"/>
    <mergeCell ref="J13:K13"/>
    <mergeCell ref="J22:K22"/>
    <mergeCell ref="A1:E2"/>
    <mergeCell ref="D5:F5"/>
    <mergeCell ref="G5:N5"/>
    <mergeCell ref="G7:H7"/>
    <mergeCell ref="J7:L7"/>
    <mergeCell ref="M7:P7"/>
  </mergeCells>
  <hyperlinks>
    <hyperlink ref="H14" r:id="rId1" xr:uid="{D2437223-55EC-4ADD-8FEA-0B638A64EC0B}"/>
    <hyperlink ref="K14" r:id="rId2" xr:uid="{B236F431-81E3-4F17-BFE4-7EF14C8587EF}"/>
    <hyperlink ref="N8" r:id="rId3" xr:uid="{297D94F9-514A-409F-AE1B-3C3B8C5E097A}"/>
    <hyperlink ref="N9" r:id="rId4" xr:uid="{DE891FB6-E5E8-4197-B771-8A4BCF25021B}"/>
  </hyperlinks>
  <pageMargins left="0.7" right="0.7" top="0.75" bottom="0.75" header="0.3" footer="0.3"/>
  <pageSetup orientation="portrait"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350FB-4F44-44C9-BD54-CA099149966A}">
  <dimension ref="A1:K6"/>
  <sheetViews>
    <sheetView workbookViewId="0">
      <selection activeCell="K3" sqref="K3"/>
    </sheetView>
  </sheetViews>
  <sheetFormatPr defaultRowHeight="14.5" x14ac:dyDescent="0.35"/>
  <cols>
    <col min="1" max="1" width="14.453125" bestFit="1" customWidth="1"/>
    <col min="2" max="2" width="14.26953125" bestFit="1" customWidth="1"/>
    <col min="3" max="3" width="10.1796875" bestFit="1" customWidth="1"/>
  </cols>
  <sheetData>
    <row r="1" spans="1:11" x14ac:dyDescent="0.35">
      <c r="A1" t="s">
        <v>75</v>
      </c>
      <c r="B1" t="s">
        <v>79</v>
      </c>
      <c r="C1" t="s">
        <v>80</v>
      </c>
      <c r="D1" t="s">
        <v>76</v>
      </c>
      <c r="E1" t="s">
        <v>77</v>
      </c>
      <c r="F1" t="s">
        <v>81</v>
      </c>
      <c r="K1" t="s">
        <v>92</v>
      </c>
    </row>
    <row r="2" spans="1:11" x14ac:dyDescent="0.35">
      <c r="A2" t="s">
        <v>78</v>
      </c>
      <c r="B2" t="s">
        <v>88</v>
      </c>
      <c r="C2">
        <v>1</v>
      </c>
      <c r="D2" s="13" t="s">
        <v>89</v>
      </c>
      <c r="E2">
        <v>0.3</v>
      </c>
      <c r="F2">
        <f>E2*C2</f>
        <v>0.3</v>
      </c>
      <c r="K2" t="s">
        <v>93</v>
      </c>
    </row>
    <row r="3" spans="1:11" x14ac:dyDescent="0.35">
      <c r="A3" t="s">
        <v>82</v>
      </c>
      <c r="C3">
        <v>3</v>
      </c>
      <c r="D3">
        <v>12</v>
      </c>
      <c r="E3">
        <v>4.0000000000000001E-3</v>
      </c>
      <c r="F3">
        <f>E3*C3</f>
        <v>1.2E-2</v>
      </c>
    </row>
    <row r="4" spans="1:11" x14ac:dyDescent="0.35">
      <c r="A4" t="s">
        <v>83</v>
      </c>
      <c r="C4">
        <v>1</v>
      </c>
      <c r="K4" t="s">
        <v>94</v>
      </c>
    </row>
    <row r="5" spans="1:11" x14ac:dyDescent="0.35">
      <c r="A5" t="s">
        <v>87</v>
      </c>
      <c r="B5" t="s">
        <v>84</v>
      </c>
      <c r="C5">
        <v>7</v>
      </c>
      <c r="D5" t="s">
        <v>90</v>
      </c>
      <c r="E5">
        <v>2.5999999999999999E-3</v>
      </c>
      <c r="F5">
        <f>E5*C5</f>
        <v>1.8200000000000001E-2</v>
      </c>
    </row>
    <row r="6" spans="1:11" x14ac:dyDescent="0.35">
      <c r="A6" t="s">
        <v>86</v>
      </c>
      <c r="B6" t="s">
        <v>85</v>
      </c>
      <c r="C6">
        <v>4</v>
      </c>
      <c r="D6" t="s">
        <v>91</v>
      </c>
      <c r="E6">
        <v>2E-3</v>
      </c>
      <c r="F6">
        <f>E6*C6</f>
        <v>8.0000000000000002E-3</v>
      </c>
      <c r="K6" t="s">
        <v>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Multi_String_Single_phase</vt:lpstr>
      <vt:lpstr>Original_Multiphase</vt:lpstr>
      <vt:lpstr>POL_Power_Breakdown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PC</dc:creator>
  <cp:lastModifiedBy>Windows PC</cp:lastModifiedBy>
  <dcterms:created xsi:type="dcterms:W3CDTF">2021-11-13T21:42:04Z</dcterms:created>
  <dcterms:modified xsi:type="dcterms:W3CDTF">2021-12-06T22:49:35Z</dcterms:modified>
</cp:coreProperties>
</file>