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669EC83A-670C-404B-8B86-3F87B1F16BF2}" xr6:coauthVersionLast="47" xr6:coauthVersionMax="47" xr10:uidLastSave="{00000000-0000-0000-0000-000000000000}"/>
  <bookViews>
    <workbookView xWindow="-110" yWindow="-110" windowWidth="19420" windowHeight="10420" xr2:uid="{632D32AA-A087-40DE-B097-47254B8CA429}"/>
  </bookViews>
  <sheets>
    <sheet name="Multi_String_Single_phase" sheetId="3" r:id="rId1"/>
    <sheet name="Original_Multiphase" sheetId="1" r:id="rId2"/>
    <sheet name="POL_Power_Breakdow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3" l="1"/>
  <c r="V23" i="3" s="1"/>
  <c r="V25" i="3" s="1"/>
  <c r="V27" i="3"/>
  <c r="V26" i="3"/>
  <c r="V24" i="3"/>
  <c r="V8" i="3"/>
  <c r="S8" i="3"/>
  <c r="K20" i="1"/>
  <c r="K26" i="1" s="1"/>
  <c r="N23" i="1"/>
  <c r="N24" i="1" s="1"/>
  <c r="H3" i="3"/>
  <c r="N24" i="3"/>
  <c r="N23" i="3"/>
  <c r="F6" i="4"/>
  <c r="F5" i="4"/>
  <c r="F3" i="4"/>
  <c r="F2" i="4"/>
  <c r="H23" i="3"/>
  <c r="H15" i="3"/>
  <c r="K30" i="1"/>
  <c r="K31" i="1"/>
  <c r="K25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0" i="3" s="1"/>
  <c r="K31" i="3" s="1"/>
  <c r="K19" i="1"/>
  <c r="K18" i="1"/>
  <c r="K17" i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V28" i="3" l="1"/>
  <c r="H20" i="3"/>
  <c r="K28" i="3"/>
  <c r="K29" i="3" s="1"/>
  <c r="K9" i="3"/>
  <c r="K24" i="3" s="1"/>
  <c r="H8" i="3"/>
  <c r="H10" i="3" s="1"/>
  <c r="H22" i="3"/>
  <c r="H24" i="3" s="1"/>
  <c r="K26" i="3"/>
  <c r="K27" i="3" s="1"/>
  <c r="H21" i="3"/>
  <c r="B19" i="3"/>
  <c r="E12" i="3" s="1"/>
  <c r="K8" i="3"/>
  <c r="K23" i="3" s="1"/>
  <c r="K27" i="1"/>
  <c r="H3" i="1" s="1"/>
  <c r="K28" i="1"/>
  <c r="H9" i="1"/>
  <c r="H20" i="1"/>
  <c r="H22" i="1" s="1"/>
  <c r="H23" i="1" s="1"/>
  <c r="H24" i="1" s="1"/>
  <c r="H4" i="1" l="1"/>
  <c r="H4" i="3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U8" authorId="0" shapeId="0" xr:uid="{57591E76-57EC-4784-9C39-4C20C0530E84}">
      <text>
        <r>
          <rPr>
            <b/>
            <sz val="9"/>
            <color indexed="81"/>
            <rFont val="Tahoma"/>
            <charset val="1"/>
          </rPr>
          <t>Capacitor Current Rating Must be higher than this value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F7D3F5F4-4FE0-4C6E-9CF7-F895F338FE31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<sst xmlns="http://schemas.openxmlformats.org/spreadsheetml/2006/main" count="207" uniqueCount="115">
  <si>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</si>
  <si>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</si>
  <si>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</si>
  <si>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</si>
  <si>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</si>
  <si>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</si>
  <si>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</si>
  <si>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</si>
  <si>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</si>
  <si>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</si>
  <si>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</si>
  <si>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</si>
  <si>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</si>
  <si>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</si>
  <si>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</si>
  <si>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</si>
  <si>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</si>
  <si>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</si>
  <si>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</si>
  <si>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</si>
  <si>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</si>
  <si>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</si>
  <si>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</si>
  <si>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</si>
  <si>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</si>
  <si>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</si>
  <si>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</si>
  <si>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</si>
  <si>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</si>
  <si>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</si>
  <si>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</si>
  <si>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</si>
  <si>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</si>
  <si>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</si>
  <si>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</si>
  <si>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</si>
  <si>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</si>
  <si>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</si>
  <si>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</si>
  <si>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</si>
  <si>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</si>
  <si>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</si>
  <si>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</si>
  <si>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</si>
  <si>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</si>
  <si>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</si>
  <si>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</si>
  <si>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</si>
  <si>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</si>
  <si>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</si>
  <si>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</si>
  <si>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</si>
  <si>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</si>
  <si>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</si>
  <si>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</si>
  <si>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</si>
  <si>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</si>
  <si>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</si>
  <si>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</si>
  <si>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</si>
  <si>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</si>
  <si>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</si>
  <si>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</si>
  <si>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</si>
  <si>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</si>
  <si>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</si>
  <si>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</si>
  <si>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</si>
  <si>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</si>
  <si>
    <t>MAX5063DASA+</t>
  </si>
  <si>
    <t>Alt Part 1:</t>
  </si>
  <si>
    <t>Alt Part 2:</t>
  </si>
  <si>
    <t>MIC4103YM</t>
  </si>
  <si>
    <t>Alt Part 3:</t>
  </si>
  <si>
    <t>MAX15019BASA+</t>
  </si>
  <si>
    <t>Device:</t>
  </si>
  <si>
    <t>Vin</t>
  </si>
  <si>
    <t>Iin</t>
  </si>
  <si>
    <t>NucleoSTM32</t>
  </si>
  <si>
    <t>P/N</t>
  </si>
  <si>
    <t># On board</t>
  </si>
  <si>
    <t>Total Load (A)</t>
  </si>
  <si>
    <t>Gate Driver</t>
  </si>
  <si>
    <t>CAN Transceiver</t>
  </si>
  <si>
    <t>INA240</t>
  </si>
  <si>
    <t>TL072CDR</t>
  </si>
  <si>
    <t>Op Amp</t>
  </si>
  <si>
    <t>Isense Amp</t>
  </si>
  <si>
    <t>NUCLEO-L432KC</t>
  </si>
  <si>
    <t>7 to 12</t>
  </si>
  <si>
    <t>2.7 to 5.5</t>
  </si>
  <si>
    <t>0 to 36</t>
  </si>
  <si>
    <t>Power Tree</t>
  </si>
  <si>
    <t>Solar Array (57.12VOC)</t>
  </si>
  <si>
    <t>12V Buck Converter</t>
  </si>
  <si>
    <t>Nucleo (3.3V onboard converter)</t>
  </si>
  <si>
    <t>Quiescent Current:</t>
  </si>
  <si>
    <t>IC Loss (Per driver) (W)</t>
  </si>
  <si>
    <t>Total IC losses:</t>
  </si>
  <si>
    <t>Cin</t>
  </si>
  <si>
    <t>I_c_in_RMS (A)</t>
  </si>
  <si>
    <t>Cout</t>
  </si>
  <si>
    <t>I_c_out_rms:</t>
  </si>
  <si>
    <t>Capacitance:</t>
  </si>
  <si>
    <t>ESR:</t>
  </si>
  <si>
    <t>Total Capacitance:</t>
  </si>
  <si>
    <t>Total ESR:</t>
  </si>
  <si>
    <t>Ripple current rating:</t>
  </si>
  <si>
    <t>V_c_out_Ripple:</t>
  </si>
  <si>
    <t>Number capacitors:</t>
  </si>
  <si>
    <t>I_C_out</t>
  </si>
  <si>
    <t>V_Cout_Ripple_ISR</t>
  </si>
  <si>
    <t>Vout_ripple (V)</t>
  </si>
  <si>
    <t>UCY2G101MHD6</t>
  </si>
  <si>
    <t>1.75 @ 100hz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</si>
</sst>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>
      <alignment horizontal="left" vertical="center" wrapText="1" indent="1"/>
    </xf>
    <xf numFmtId="0" fontId="0" fillId="0" borderId="0" xfId="0" applyBorder="1" applyAlignment="1">
      <alignment horizontal="center"/>
    </xf>
    <xf numFmtId="0" fontId="4" fillId="0" borderId="0" xfId="1" applyNumberFormat="1" applyAlignment="1">
      <alignment horizontal="left" vertical="center" wrapText="1" indent="1"/>
    </xf>
    <xf numFmtId="16" fontId="0" fillId="0" borderId="0" xfId="0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292040</xdr:colOff>
      <xdr:row>2</xdr:row>
      <xdr:rowOff>69460</xdr:rowOff>
    </xdr:from>
    <xdr:to>
      <xdr:col>10</xdr:col>
      <xdr:colOff>292400</xdr:colOff>
      <xdr:row>2</xdr:row>
      <xdr:rowOff>161980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14:cNvPr>
            <xdr14:cNvContentPartPr/>
          </xdr14:nvContentPartPr>
          <xdr14:nvPr macro=""/>
          <xdr14:xfrm>
            <a:off x="7277040" y="437760"/>
            <a:ext cx="360" cy="925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68040" y="429120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292040</xdr:colOff>
      <xdr:row>3</xdr:row>
      <xdr:rowOff>183750</xdr:rowOff>
    </xdr:from>
    <xdr:to>
      <xdr:col>10</xdr:col>
      <xdr:colOff>292400</xdr:colOff>
      <xdr:row>5</xdr:row>
      <xdr:rowOff>15610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14:cNvPr>
            <xdr14:cNvContentPartPr/>
          </xdr14:nvContentPartPr>
          <xdr14:nvPr macro=""/>
          <xdr14:xfrm>
            <a:off x="7277040" y="736200"/>
            <a:ext cx="360" cy="2001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68040" y="727560"/>
              <a:ext cx="180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88760</xdr:colOff>
      <xdr:row>2</xdr:row>
      <xdr:rowOff>24460</xdr:rowOff>
    </xdr:from>
    <xdr:to>
      <xdr:col>12</xdr:col>
      <xdr:colOff>432200</xdr:colOff>
      <xdr:row>3</xdr:row>
      <xdr:rowOff>126870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14:cNvPr>
            <xdr14:cNvContentPartPr/>
          </xdr14:nvContentPartPr>
          <xdr14:nvPr macro=""/>
          <xdr14:xfrm>
            <a:off x="8292960" y="392760"/>
            <a:ext cx="343440" cy="2865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84320" y="383771"/>
              <a:ext cx="361080" cy="304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145880</xdr:colOff>
      <xdr:row>4</xdr:row>
      <xdr:rowOff>140000</xdr:rowOff>
    </xdr:from>
    <xdr:to>
      <xdr:col>13</xdr:col>
      <xdr:colOff>306800</xdr:colOff>
      <xdr:row>5</xdr:row>
      <xdr:rowOff>133330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14:cNvPr>
            <xdr14:cNvContentPartPr/>
          </xdr14:nvContentPartPr>
          <xdr14:nvPr macro=""/>
          <xdr14:xfrm>
            <a:off x="8959680" y="876600"/>
            <a:ext cx="160920" cy="1774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1040" y="867960"/>
              <a:ext cx="1785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190160</xdr:colOff>
      <xdr:row>3</xdr:row>
      <xdr:rowOff>36870</xdr:rowOff>
    </xdr:from>
    <xdr:to>
      <xdr:col>13</xdr:col>
      <xdr:colOff>445760</xdr:colOff>
      <xdr:row>4</xdr:row>
      <xdr:rowOff>50720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14:cNvPr>
            <xdr14:cNvContentPartPr/>
          </xdr14:nvContentPartPr>
          <xdr14:nvPr macro=""/>
          <xdr14:xfrm>
            <a:off x="9003960" y="589320"/>
            <a:ext cx="255600" cy="1980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95320" y="580336"/>
              <a:ext cx="273240" cy="215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24575,'0'3'0,"0"4"0,0 6 0,0 5 0,0 2 0,0 0 0,0 1 0,0-1 0,0-1 0,0-1 0,0 0 0,0 0 0,0 3 0,0 0 0,0-2-8191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7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24575,'0'544'-1365,"0"-533"-5461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27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1 796 24575,'37'-2'0,"1"-1"0,-1-2 0,0-1 0,70-22 0,-79 20 0,1 2 0,-1 0 0,1 2 0,0 2 0,47 1 0,-32 3 0,-21-1 0,0 0 0,46-5 0,-67 3 0,0 1 0,1-1 0,-1 0 0,0 0 0,-1 0 0,1 0 0,0-1 0,0 1 0,0 0 0,-1-1 0,1 1 0,-1-1 0,1 0 0,-1 1 0,1-1 0,-1 0 0,0 0 0,0 0 0,0 0 0,0 0 0,0 0 0,-1 0 0,1 0 0,-1 0 0,1-1 0,-1 1 0,1-3 0,0-9 0,0 0 0,0 0 0,-3-16 0,2 18 0,-3-80-1365,3 74-5461</inkml:trace>
  <inkml:trace contextRef="#ctx0" brushRef="#br0" timeOffset="1788.89">530 55 24575,'0'3'0,"0"7"0,0 5 0,0 2 0,0 2 0,0 1 0,0 0 0,0-1 0,0-1 0,0 1 0,0-4-8191</inkml:trace>
  <inkml:trace contextRef="#ctx0" brushRef="#br0" timeOffset="4564.01">653 73 24575,'2'-1'0,"1"-1"0,0 1 0,0-1 0,-1 1 0,1-1 0,-1 0 0,1 0 0,-1 0 0,3-3 0,4-3 0,-2 2 0,1 1 0,-1 0 0,1 1 0,0 0 0,0 0 0,0 1 0,1-1 0,-1 2 0,1-1 0,0 2 0,11-2 0,-15 2 0,-1 1 0,0 0 0,1 0 0,-1 1 0,0-1 0,0 1 0,0 0 0,1 0 0,-1 1 0,0-1 0,0 1 0,0 0 0,-1 0 0,1 0 0,0 0 0,-1 1 0,1-1 0,-1 1 0,0 0 0,0 0 0,0 0 0,0 1 0,-1-1 0,1 1 0,2 6 0,0 0 0,-1 0 0,-1 0 0,1 0 0,-2 1 0,0-1 0,0 1 0,0 18 0,-1 2 0,-5 44 0,3-71 0,1-1 0,-1 1 0,0-1 0,0 1 0,0-1 0,-1 1 0,1-1 0,-1 0 0,0 0 0,0 0 0,0 0 0,0 0 0,-1 0 0,1 0 0,-1-1 0,0 1 0,1-1 0,-1 0 0,0 0 0,0 0 0,-1 0 0,-4 2 0,3-2 0,-1 0 0,1 0 0,0-1 0,-1 1 0,1-1 0,0-1 0,-1 1 0,1-1 0,-1 0 0,1 0 0,-1 0 0,1-1 0,-1 0 0,-7-2 0,10 2 0,1 0 0,-1-1 0,1 1 0,0 0 0,0-1 0,-1 1 0,1-1 0,0 0 0,0 1 0,0-1 0,1 0 0,-1 0 0,0-1 0,1 1 0,-1 0 0,1 0 0,0-1 0,0 1 0,0-1 0,0 1 0,0-1 0,0 0 0,1 1 0,-1-1 0,1 0 0,0 1 0,0-1 0,0 0 0,0 1 0,0-1 0,1 0 0,0-2 0,-1 1 0,1 1 0,0 0 0,0 0 0,0-1 0,0 1 0,0 0 0,1 0 0,-1 0 0,1 0 0,0 0 0,0 1 0,0-1 0,0 1 0,0-1 0,1 1 0,-1-1 0,1 1 0,0 0 0,-1 0 0,1 1 0,0-1 0,0 0 0,0 1 0,0 0 0,6-2 0,0 2 0,0-1 0,0 2 0,0-1 0,1 1 0,-1 1 0,0-1 0,11 4 0,-17-4 0,0 1 0,0 0 0,0 0 0,0 0 0,0 0 0,0 1 0,0-1 0,0 1 0,-1 0 0,1 0 0,-1 0 0,1 0 0,-1 0 0,0 0 0,0 1 0,0-1 0,0 1 0,0 0 0,0-1 0,-1 1 0,1 0 0,-1 0 0,1 4 0,3 7-455,-2 1 0,4 29 0,-6-30-6371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1 493 24575,'8'-8'0,"0"1"0,1 0 0,1 1 0,-1 0 0,1 1 0,0-1 0,0 2 0,0 0 0,1 0 0,-1 1 0,1 0 0,20-3 0,9 2 0,0 2 0,51 4 0,-20 0 0,-69-2 0,0 0 0,0 0 0,1-1 0,-1 1 0,0-1 0,0 1 0,1-1 0,-1 0 0,0 1 0,0-1 0,0 0 0,0-1 0,0 1 0,0 0 0,-1-1 0,1 1 0,0 0 0,-1-1 0,1 0 0,0 0 0,-1 1 0,0-1 0,0 0 0,1 0 0,-1 0 0,0 0 0,0 0 0,-1 0 0,1-1 0,0 1 0,-1 0 0,1-4 0,1-8 0,-1 0 0,0 0 0,-1 0 0,-2-19 0,0 11 0,1-223-1365,1 228-5461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24575,'4'-2'0,"0"0"0,0 0 0,1 1 0,-1 0 0,0 0 0,1 0 0,0 0 0,-1 1 0,1 0 0,-1 0 0,9 1 0,-11-1 0,-1 1 0,1-1 0,-1 0 0,0 1 0,1 0 0,-1-1 0,1 1 0,-1 0 0,0 0 0,0 0 0,0 0 0,1 0 0,-1 0 0,0 0 0,0 0 0,0 0 0,0 0 0,-1 1 0,1-1 0,0 0 0,0 1 0,-1-1 0,1 0 0,-1 1 0,1-1 0,-1 1 0,0-1 0,0 1 0,1-1 0,-1 1 0,0-1 0,0 1 0,-1-1 0,1 1 0,0-1 0,0 1 0,-1-1 0,0 3 0,-2 5 0,0 0 0,0-1 0,-1 1 0,0-1 0,-1 0 0,0 0 0,0 0 0,-1-1 0,0 0 0,0 0 0,-7 7 0,12-14 0,1 0 0,0 0 0,0 0 0,0 0 0,0 0 0,0 0 0,0 0 0,0 0 0,0 0 0,0 0 0,0 1 0,0-1 0,0 0 0,-1 0 0,1 0 0,0 0 0,0 0 0,0 0 0,0 0 0,0 1 0,0-1 0,0 0 0,0 0 0,0 0 0,0 0 0,0 0 0,0 0 0,0 0 0,0 1 0,0-1 0,1 0 0,-1 0 0,0 0 0,0 0 0,0 0 0,0 0 0,0 0 0,0 0 0,0 1 0,0-1 0,0 0 0,0 0 0,0 0 0,0 0 0,1 0 0,-1 0 0,0 0 0,0 0 0,0 0 0,0 0 0,0 0 0,0 0 0,0 0 0,1 0 0,10 2 0,16-2 0,-24 0 0,0-1 0,1 1 0,0 0 0,0 0 0,0 0 0,0 1 0,0-1 0,0 1 0,0 0 0,0 0 0,0 0 0,6 4 0,-8-4 0,-1 1 0,1 0 0,0-1 0,0 1 0,-1 0 0,1 0 0,-1 0 0,1 0 0,-1 0 0,0 0 0,0 0 0,0 1 0,0-1 0,0 0 0,0 1 0,-1-1 0,1 0 0,-1 1 0,0-1 0,0 3 0,2 27 0,-1-1 0,-6 42 0,5-70-47,0-1 0,-1 1 0,0-1 0,1 1 0,-1-1 0,0 0 0,0 1 0,0-1 0,-1 0-1,1 0 1,0 0 0,-1 0 0,1 0 0,-1 0 0,0 0 0,0-1 0,0 1 0,0 0 0,0-1 0,0 0 0,0 1 0,0-1-1,-1 0 1,1 0 0,0 0 0,-1-1 0,1 1 0,-4 0 0,-9 2-6779</inkml:trace>
  <inkml:trace contextRef="#ctx0" brushRef="#br0" timeOffset="638.79">372 550 24575</inkml:trace>
  <inkml:trace contextRef="#ctx0" brushRef="#br0" timeOffset="1957.43">442 3 24575,'33'-2'0,"25"1"0,-54 1 0,1 1 0,-1-1 0,1 1 0,-1 0 0,1 0 0,-1 0 0,0 1 0,1 0 0,4 2 0,-6-1 0,-1-1 0,0 0 0,0 1 0,0-1 0,0 1 0,0 0 0,-1 0 0,1 0 0,-1-1 0,0 1 0,0 1 0,0-1 0,0 0 0,0 0 0,-1 0 0,1 0 0,-1 1 0,0 5 0,0 7 0,0 0 0,-4 21 0,2-29 0,2-7 0,-1 0 0,1 0 0,0 0 0,-1 1 0,1-1 0,0 0 0,0 0 0,0 0 0,0 0 0,0 0 0,0 0 0,0 0 0,0 0 0,0 0 0,1 0 0,-1 1 0,0-1 0,1 0 0,-1 0 0,0 0 0,1 0 0,0-1 0,-1 1 0,1 0 0,-1 0 0,1 0 0,0 0 0,0 0 0,-1-1 0,1 1 0,0 0 0,0-1 0,0 1 0,0-1 0,0 1 0,0-1 0,0 1 0,0-1 0,0 0 0,2 1 0,3 2 0,0 0 0,1 0 0,-1 0 0,0 1 0,0 0 0,-1 1 0,1-1 0,4 6 0,-7-6 0,0 0 0,0 0 0,0 1 0,-1-1 0,1 1 0,-1 0 0,0-1 0,-1 1 0,1 0 0,-1 0 0,2 10 0,-3-12 0,2 5 0,-1 1 0,-1 0 0,1-1 0,-2 1 0,0 9 0,1-16 0,-1 0 0,1 0 0,0-1 0,-1 1 0,0 0 0,1 0 0,-1-1 0,0 1 0,0 0 0,0-1 0,0 1 0,0-1 0,0 1 0,-1-1 0,1 0 0,0 1 0,-1-1 0,1 0 0,-1 0 0,0 0 0,1 0 0,-1 0 0,0 0 0,1-1 0,-1 1 0,0-1 0,0 1 0,0-1 0,-2 1 0,-14 0-100,0 0-1,-24-2 1,27 0-964,-6 0-5762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ichicon/UCY2G101MHD6/2597737" TargetMode="External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V31"/>
  <sheetViews>
    <sheetView tabSelected="1" topLeftCell="C4" zoomScale="70" zoomScaleNormal="70" workbookViewId="0">
      <selection activeCell="S14" sqref="S14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2.7265625" bestFit="1" customWidth="1"/>
    <col min="10" max="10" width="26.54296875" bestFit="1" customWidth="1"/>
    <col min="11" max="11" width="15.7265625" customWidth="1"/>
    <col min="13" max="13" width="20" bestFit="1" customWidth="1"/>
    <col min="18" max="18" width="19" bestFit="1" customWidth="1"/>
    <col min="21" max="21" width="18.54296875" bestFit="1" customWidth="1"/>
    <col min="22" max="22" width="11.81640625" bestFit="1" customWidth="1"/>
  </cols>
  <sheetData>
    <row r="1" spans="1:22" x14ac:dyDescent="0.35">
      <c r="A1" s="8" t="s">
        <v>0</v>
      </c>
      <c r="B1" s="8"/>
      <c r="C1" s="8"/>
      <c r="D1" s="8"/>
      <c r="E1" s="8"/>
      <c r="G1" s="11" t="s">
        <v>66</v>
      </c>
      <c r="H1" s="11"/>
      <c r="I1" s="11"/>
    </row>
    <row r="2" spans="1:22" x14ac:dyDescent="0.35">
      <c r="A2" s="8"/>
      <c r="B2" s="8"/>
      <c r="C2" s="8"/>
      <c r="D2" s="8"/>
      <c r="E2" s="8"/>
    </row>
    <row r="3" spans="1:22" x14ac:dyDescent="0.35">
      <c r="A3" t="s">
        <v>1</v>
      </c>
      <c r="B3" t="s">
        <v>2</v>
      </c>
      <c r="G3" t="s">
        <v>67</v>
      </c>
      <c r="H3">
        <f>SUM(K31,K29,K27,K25,H26,H24,N23)</f>
        <v>21.443733816358456</v>
      </c>
    </row>
    <row r="4" spans="1:22" x14ac:dyDescent="0.35">
      <c r="G4" t="s">
        <v>68</v>
      </c>
      <c r="H4">
        <f>((B19-H3)/B19)</f>
        <v>0.97554764890490053</v>
      </c>
    </row>
    <row r="5" spans="1:22" x14ac:dyDescent="0.35">
      <c r="A5" s="3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22" x14ac:dyDescent="0.35">
      <c r="A7" s="1" t="s">
        <v>5</v>
      </c>
      <c r="D7" t="s">
        <v>15</v>
      </c>
      <c r="E7">
        <v>80000</v>
      </c>
      <c r="G7" s="6" t="s">
        <v>21</v>
      </c>
      <c r="H7" s="7"/>
      <c r="J7" s="6" t="s">
        <v>39</v>
      </c>
      <c r="K7" s="7"/>
      <c r="L7" s="7"/>
      <c r="M7" s="6" t="s">
        <v>56</v>
      </c>
      <c r="N7" s="6"/>
      <c r="O7" s="14"/>
      <c r="P7" s="14"/>
      <c r="R7" s="6" t="s">
        <v>99</v>
      </c>
      <c r="S7" s="6"/>
      <c r="U7" s="6" t="s">
        <v>101</v>
      </c>
      <c r="V7" s="7"/>
    </row>
    <row r="8" spans="1:22" x14ac:dyDescent="0.35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  <c r="R8" t="s">
        <v>100</v>
      </c>
      <c r="S8">
        <f>H20/SQRT(12)</f>
        <v>0.86583054806858728</v>
      </c>
      <c r="U8" t="s">
        <v>102</v>
      </c>
      <c r="V8">
        <f>E14*SQRT(E10/(1-E10))</f>
        <v>2.849679356962814</v>
      </c>
    </row>
    <row r="9" spans="1:22" x14ac:dyDescent="0.35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M9" t="s">
        <v>70</v>
      </c>
      <c r="N9" s="4" t="s">
        <v>69</v>
      </c>
    </row>
    <row r="10" spans="1:22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M10" t="s">
        <v>71</v>
      </c>
      <c r="N10" t="s">
        <v>72</v>
      </c>
    </row>
    <row r="11" spans="1:22" x14ac:dyDescent="0.35">
      <c r="D11" t="s">
        <v>18</v>
      </c>
      <c r="E11">
        <v>0.95</v>
      </c>
      <c r="M11" t="s">
        <v>73</v>
      </c>
      <c r="N11" t="s">
        <v>74</v>
      </c>
    </row>
    <row r="12" spans="1:22" x14ac:dyDescent="0.35">
      <c r="A12" s="1" t="s">
        <v>10</v>
      </c>
      <c r="D12" t="s">
        <v>24</v>
      </c>
      <c r="E12">
        <f>E11*B19</f>
        <v>833.11199999999997</v>
      </c>
    </row>
    <row r="13" spans="1:22" x14ac:dyDescent="0.35">
      <c r="A13" t="s">
        <v>11</v>
      </c>
      <c r="B13">
        <v>96</v>
      </c>
      <c r="D13" t="s">
        <v>50</v>
      </c>
      <c r="E13">
        <f>(B17/B8)</f>
        <v>6</v>
      </c>
      <c r="G13" s="6" t="s">
        <v>26</v>
      </c>
      <c r="H13" s="6"/>
      <c r="J13" s="6" t="s">
        <v>26</v>
      </c>
      <c r="K13" s="7"/>
      <c r="M13" s="6" t="s">
        <v>26</v>
      </c>
      <c r="N13" s="6"/>
      <c r="R13" s="6" t="s">
        <v>26</v>
      </c>
      <c r="S13" s="6"/>
      <c r="U13" s="6" t="s">
        <v>26</v>
      </c>
      <c r="V13" s="7"/>
    </row>
    <row r="14" spans="1:22" x14ac:dyDescent="0.35">
      <c r="D14" t="s">
        <v>19</v>
      </c>
      <c r="E14">
        <f>(E12/B8)/B18</f>
        <v>2.8927499999999999</v>
      </c>
      <c r="G14" t="s">
        <v>30</v>
      </c>
      <c r="H14" s="12">
        <v>74437529203101</v>
      </c>
      <c r="J14" t="s">
        <v>27</v>
      </c>
      <c r="K14" s="10" t="s">
        <v>63</v>
      </c>
      <c r="M14" t="s">
        <v>57</v>
      </c>
      <c r="N14">
        <v>3</v>
      </c>
      <c r="R14" t="s">
        <v>27</v>
      </c>
      <c r="U14" t="s">
        <v>27</v>
      </c>
      <c r="V14" s="4" t="s">
        <v>113</v>
      </c>
    </row>
    <row r="15" spans="1:22" x14ac:dyDescent="0.35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  <c r="M15" t="s">
        <v>96</v>
      </c>
      <c r="N15">
        <v>2E-3</v>
      </c>
      <c r="U15" t="s">
        <v>103</v>
      </c>
      <c r="V15">
        <f>1000*POWER(10,-6)</f>
        <v>1E-3</v>
      </c>
    </row>
    <row r="16" spans="1:22" x14ac:dyDescent="0.35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  <c r="U16" t="s">
        <v>104</v>
      </c>
      <c r="V16">
        <v>0.02</v>
      </c>
    </row>
    <row r="17" spans="1:22" x14ac:dyDescent="0.35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  <c r="U17" t="s">
        <v>107</v>
      </c>
      <c r="V17" t="s">
        <v>114</v>
      </c>
    </row>
    <row r="18" spans="1:22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  <c r="U18" t="s">
        <v>109</v>
      </c>
      <c r="V18">
        <v>2</v>
      </c>
    </row>
    <row r="19" spans="1:22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22" x14ac:dyDescent="0.35">
      <c r="G20" s="5" t="s">
        <v>34</v>
      </c>
      <c r="H20">
        <f>(B16*E10)/(H15*E8)</f>
        <v>2.9993250000000002</v>
      </c>
      <c r="J20" t="s">
        <v>58</v>
      </c>
      <c r="K20">
        <f>K17/N14</f>
        <v>1.8666666666666668E-8</v>
      </c>
    </row>
    <row r="21" spans="1:22" x14ac:dyDescent="0.35">
      <c r="G21" s="5" t="s">
        <v>35</v>
      </c>
      <c r="H21">
        <f>E13+(0.5*H20)</f>
        <v>7.4996625000000003</v>
      </c>
    </row>
    <row r="22" spans="1:22" x14ac:dyDescent="0.35">
      <c r="G22" s="5" t="s">
        <v>38</v>
      </c>
      <c r="H22">
        <f>SQRT(POWER(E13,2) + POWER(H20/SQRT(12),2))</f>
        <v>6.0621499930279485</v>
      </c>
      <c r="J22" s="6" t="s">
        <v>33</v>
      </c>
      <c r="K22" s="7"/>
      <c r="M22" s="6" t="s">
        <v>33</v>
      </c>
      <c r="N22" s="7"/>
      <c r="U22" s="6" t="s">
        <v>33</v>
      </c>
      <c r="V22" s="7"/>
    </row>
    <row r="23" spans="1:22" x14ac:dyDescent="0.35">
      <c r="G23" s="5" t="s">
        <v>36</v>
      </c>
      <c r="H23">
        <f>POWER(H22,2)*H16</f>
        <v>0.84156727211948457</v>
      </c>
      <c r="J23" t="s">
        <v>42</v>
      </c>
      <c r="K23">
        <f>POWER(K8,2)*K15</f>
        <v>0.12765599999999996</v>
      </c>
      <c r="M23" t="s">
        <v>97</v>
      </c>
      <c r="N23">
        <f>B9*((E9*K16*E8) + N15)</f>
        <v>0.37027200000000005</v>
      </c>
      <c r="U23" t="s">
        <v>105</v>
      </c>
      <c r="V23">
        <f>V18*V15</f>
        <v>2E-3</v>
      </c>
    </row>
    <row r="24" spans="1:22" x14ac:dyDescent="0.35">
      <c r="G24" s="5" t="s">
        <v>37</v>
      </c>
      <c r="H24">
        <f>H23*B8</f>
        <v>2.5247018163584536</v>
      </c>
      <c r="J24" t="s">
        <v>44</v>
      </c>
      <c r="K24">
        <f>POWER(K9,2)*K15</f>
        <v>0.13154400000000005</v>
      </c>
      <c r="M24" t="s">
        <v>98</v>
      </c>
      <c r="N24">
        <f>N23*B8</f>
        <v>1.1108160000000002</v>
      </c>
      <c r="U24" t="s">
        <v>106</v>
      </c>
      <c r="V24">
        <f>V16/V18</f>
        <v>0.01</v>
      </c>
    </row>
    <row r="25" spans="1:22" x14ac:dyDescent="0.35">
      <c r="G25" s="5" t="s">
        <v>52</v>
      </c>
      <c r="H25">
        <v>1.78E-2</v>
      </c>
      <c r="J25" t="s">
        <v>43</v>
      </c>
      <c r="K25">
        <f>SUM(K23:K24)*B8</f>
        <v>0.77759999999999996</v>
      </c>
      <c r="U25" t="s">
        <v>108</v>
      </c>
      <c r="V25">
        <f>(H20*E10)/(E8*V23)</f>
        <v>9.2322972656249998E-3</v>
      </c>
    </row>
    <row r="26" spans="1:22" x14ac:dyDescent="0.35">
      <c r="G26" s="5" t="s">
        <v>53</v>
      </c>
      <c r="H26">
        <f>H25*B8</f>
        <v>5.3400000000000003E-2</v>
      </c>
      <c r="J26" t="s">
        <v>61</v>
      </c>
      <c r="K26">
        <f>B18*E13*K20*E8</f>
        <v>0.86016000000000015</v>
      </c>
      <c r="U26" t="s">
        <v>110</v>
      </c>
      <c r="V26">
        <f>E14/(E9*(1-E10))</f>
        <v>5.6999999999999993</v>
      </c>
    </row>
    <row r="27" spans="1:22" x14ac:dyDescent="0.35">
      <c r="J27" t="s">
        <v>46</v>
      </c>
      <c r="K27">
        <f>K26*B8</f>
        <v>2.5804800000000006</v>
      </c>
      <c r="U27" t="s">
        <v>111</v>
      </c>
      <c r="V27">
        <f>V26*V16</f>
        <v>0.11399999999999999</v>
      </c>
    </row>
    <row r="28" spans="1:22" x14ac:dyDescent="0.35">
      <c r="J28" t="s">
        <v>62</v>
      </c>
      <c r="K28">
        <f>(K18/2)*B18*E8</f>
        <v>0.68735999999999997</v>
      </c>
      <c r="U28" t="s">
        <v>112</v>
      </c>
      <c r="V28">
        <f>SQRT(POWER(V25,2) + POWER(V27,2))</f>
        <v>0.11437322812966706</v>
      </c>
    </row>
    <row r="29" spans="1:22" x14ac:dyDescent="0.35">
      <c r="J29" t="s">
        <v>60</v>
      </c>
      <c r="K29">
        <f>K28*2*B8</f>
        <v>4.1241599999999998</v>
      </c>
    </row>
    <row r="30" spans="1:22" x14ac:dyDescent="0.35">
      <c r="J30" t="s">
        <v>64</v>
      </c>
      <c r="K30">
        <f>K19*B18*E8</f>
        <v>3.6710400000000005</v>
      </c>
    </row>
    <row r="31" spans="1:22" x14ac:dyDescent="0.35">
      <c r="J31" t="s">
        <v>65</v>
      </c>
      <c r="K31">
        <f>K30*B8</f>
        <v>11.013120000000001</v>
      </c>
    </row>
  </sheetData>
  <mergeCells count="18">
    <mergeCell ref="R7:S7"/>
    <mergeCell ref="U7:V7"/>
    <mergeCell ref="U13:V13"/>
    <mergeCell ref="U22:V22"/>
    <mergeCell ref="M7:N7"/>
    <mergeCell ref="R13:S13"/>
    <mergeCell ref="G13:H13"/>
    <mergeCell ref="J13:K13"/>
    <mergeCell ref="G19:H19"/>
    <mergeCell ref="J22:K22"/>
    <mergeCell ref="G1:I1"/>
    <mergeCell ref="M13:N13"/>
    <mergeCell ref="M22:N22"/>
    <mergeCell ref="A1:E2"/>
    <mergeCell ref="D5:F5"/>
    <mergeCell ref="G5:N5"/>
    <mergeCell ref="G7:H7"/>
    <mergeCell ref="J7:L7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  <hyperlink ref="N9" r:id="rId4" xr:uid="{7D8684E0-555C-4A45-AC83-3F8666047795}"/>
    <hyperlink ref="V14" r:id="rId5" xr:uid="{C08C6835-4918-4DEA-AC7C-FBC8E822285F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P31"/>
  <sheetViews>
    <sheetView topLeftCell="C1" zoomScale="70" zoomScaleNormal="70" workbookViewId="0">
      <selection activeCell="K21" sqref="K21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16" x14ac:dyDescent="0.35">
      <c r="A1" s="8" t="s">
        <v>0</v>
      </c>
      <c r="B1" s="8"/>
      <c r="C1" s="8"/>
      <c r="D1" s="8"/>
      <c r="E1" s="8"/>
      <c r="G1" s="11" t="s">
        <v>66</v>
      </c>
      <c r="H1" s="11"/>
      <c r="I1" s="11"/>
    </row>
    <row r="2" spans="1:16" x14ac:dyDescent="0.35">
      <c r="A2" s="8"/>
      <c r="B2" s="8"/>
      <c r="C2" s="8"/>
      <c r="D2" s="8"/>
      <c r="E2" s="8"/>
    </row>
    <row r="3" spans="1:16" x14ac:dyDescent="0.35">
      <c r="A3" t="s">
        <v>1</v>
      </c>
      <c r="B3" t="s">
        <v>2</v>
      </c>
      <c r="G3" t="s">
        <v>67</v>
      </c>
      <c r="H3">
        <f>SUM(K31,K29,K27,K25,H26,H24)</f>
        <v>40.475782132134938</v>
      </c>
    </row>
    <row r="4" spans="1:16" x14ac:dyDescent="0.35">
      <c r="G4" t="s">
        <v>68</v>
      </c>
      <c r="H4">
        <f>((B19-H3)/B19)</f>
        <v>0.95384534969424506</v>
      </c>
    </row>
    <row r="5" spans="1:16" x14ac:dyDescent="0.35">
      <c r="A5" s="2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16" x14ac:dyDescent="0.35">
      <c r="A7" s="1" t="s">
        <v>5</v>
      </c>
      <c r="D7" t="s">
        <v>15</v>
      </c>
      <c r="E7">
        <v>450000</v>
      </c>
      <c r="G7" s="6" t="s">
        <v>21</v>
      </c>
      <c r="H7" s="7"/>
      <c r="J7" s="6" t="s">
        <v>39</v>
      </c>
      <c r="K7" s="7"/>
      <c r="L7" s="7"/>
      <c r="M7" s="7" t="s">
        <v>56</v>
      </c>
      <c r="N7" s="7"/>
      <c r="O7" s="7"/>
      <c r="P7" s="7"/>
    </row>
    <row r="8" spans="1:16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16" x14ac:dyDescent="0.35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M9" t="s">
        <v>70</v>
      </c>
      <c r="N9" s="4" t="s">
        <v>69</v>
      </c>
    </row>
    <row r="10" spans="1:16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M10" t="s">
        <v>71</v>
      </c>
      <c r="N10" t="s">
        <v>72</v>
      </c>
    </row>
    <row r="11" spans="1:16" x14ac:dyDescent="0.35">
      <c r="D11" t="s">
        <v>18</v>
      </c>
      <c r="E11">
        <v>0.95</v>
      </c>
      <c r="M11" t="s">
        <v>73</v>
      </c>
      <c r="N11" t="s">
        <v>74</v>
      </c>
    </row>
    <row r="12" spans="1:16" x14ac:dyDescent="0.35">
      <c r="A12" s="1" t="s">
        <v>10</v>
      </c>
      <c r="D12" t="s">
        <v>24</v>
      </c>
      <c r="E12">
        <f>E11*B19</f>
        <v>833.11199999999997</v>
      </c>
    </row>
    <row r="13" spans="1:16" x14ac:dyDescent="0.35">
      <c r="A13" t="s">
        <v>11</v>
      </c>
      <c r="B13">
        <v>96</v>
      </c>
      <c r="D13" t="s">
        <v>50</v>
      </c>
      <c r="E13">
        <f>(B17/E9)</f>
        <v>9</v>
      </c>
      <c r="G13" s="6" t="s">
        <v>26</v>
      </c>
      <c r="H13" s="6"/>
      <c r="J13" s="6" t="s">
        <v>26</v>
      </c>
      <c r="K13" s="7"/>
      <c r="M13" s="6" t="s">
        <v>26</v>
      </c>
      <c r="N13" s="6"/>
    </row>
    <row r="14" spans="1:16" x14ac:dyDescent="0.35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10" t="s">
        <v>63</v>
      </c>
      <c r="M14" t="s">
        <v>57</v>
      </c>
      <c r="N14">
        <v>3</v>
      </c>
    </row>
    <row r="15" spans="1:16" x14ac:dyDescent="0.35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  <c r="M15" t="s">
        <v>96</v>
      </c>
      <c r="N15">
        <v>2E-3</v>
      </c>
    </row>
    <row r="16" spans="1:16" x14ac:dyDescent="0.35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4" x14ac:dyDescent="0.35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4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4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14" x14ac:dyDescent="0.35">
      <c r="G20" s="5" t="s">
        <v>34</v>
      </c>
      <c r="H20">
        <f>(B16*E10)/(H15*E8)</f>
        <v>4.8473939393939389</v>
      </c>
      <c r="J20" t="s">
        <v>58</v>
      </c>
      <c r="K20">
        <f>K17/N14</f>
        <v>1.8666666666666668E-8</v>
      </c>
    </row>
    <row r="21" spans="1:14" x14ac:dyDescent="0.35">
      <c r="G21" s="5" t="s">
        <v>35</v>
      </c>
      <c r="H21">
        <f>E13+(0.5*H20)</f>
        <v>11.423696969696969</v>
      </c>
    </row>
    <row r="22" spans="1:14" x14ac:dyDescent="0.35">
      <c r="G22" s="5" t="s">
        <v>38</v>
      </c>
      <c r="H22">
        <f>SQRT(POWER(E13,2) + POWER(H20/SQRT(12),2))</f>
        <v>9.1081338557159679</v>
      </c>
      <c r="J22" s="6" t="s">
        <v>33</v>
      </c>
      <c r="K22" s="7"/>
      <c r="M22" s="6" t="s">
        <v>33</v>
      </c>
      <c r="N22" s="6"/>
    </row>
    <row r="23" spans="1:14" x14ac:dyDescent="0.35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  <c r="M23" t="s">
        <v>97</v>
      </c>
      <c r="N23">
        <f>B9*((E9*K16*E8) + N15)</f>
        <v>1.63212</v>
      </c>
    </row>
    <row r="24" spans="1:14" x14ac:dyDescent="0.35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  <c r="M24" t="s">
        <v>98</v>
      </c>
      <c r="N24">
        <f>N23*B8</f>
        <v>4.8963599999999996</v>
      </c>
    </row>
    <row r="25" spans="1:14" x14ac:dyDescent="0.35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4" x14ac:dyDescent="0.35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4" x14ac:dyDescent="0.35">
      <c r="J27" t="s">
        <v>46</v>
      </c>
      <c r="K27">
        <f>K26*E9</f>
        <v>7.2576000000000009</v>
      </c>
    </row>
    <row r="28" spans="1:14" x14ac:dyDescent="0.35">
      <c r="J28" t="s">
        <v>62</v>
      </c>
      <c r="K28">
        <f>(K18/2)*B18*E8</f>
        <v>1.9332</v>
      </c>
    </row>
    <row r="29" spans="1:14" x14ac:dyDescent="0.35">
      <c r="J29" t="s">
        <v>60</v>
      </c>
      <c r="K29">
        <f>K28*2*E9</f>
        <v>7.7328000000000001</v>
      </c>
    </row>
    <row r="30" spans="1:14" x14ac:dyDescent="0.35">
      <c r="J30" t="s">
        <v>64</v>
      </c>
      <c r="K30">
        <f>K19*B18*E8</f>
        <v>10.324800000000002</v>
      </c>
    </row>
    <row r="31" spans="1:14" x14ac:dyDescent="0.35">
      <c r="J31" t="s">
        <v>65</v>
      </c>
      <c r="K31">
        <f>K30*E9</f>
        <v>20.649600000000003</v>
      </c>
    </row>
  </sheetData>
  <mergeCells count="13">
    <mergeCell ref="G1:I1"/>
    <mergeCell ref="M13:N13"/>
    <mergeCell ref="M22:N22"/>
    <mergeCell ref="G13:H13"/>
    <mergeCell ref="G19:H19"/>
    <mergeCell ref="J13:K13"/>
    <mergeCell ref="J22:K22"/>
    <mergeCell ref="A1:E2"/>
    <mergeCell ref="D5:F5"/>
    <mergeCell ref="G5:N5"/>
    <mergeCell ref="G7:H7"/>
    <mergeCell ref="J7:L7"/>
    <mergeCell ref="M7:P7"/>
  </mergeCells>
  <hyperlinks>
    <hyperlink ref="H14" r:id="rId1" xr:uid="{D2437223-55EC-4ADD-8FEA-0B638A64EC0B}"/>
    <hyperlink ref="K14" r:id="rId2" xr:uid="{B236F431-81E3-4F17-BFE4-7EF14C8587EF}"/>
    <hyperlink ref="N8" r:id="rId3" xr:uid="{297D94F9-514A-409F-AE1B-3C3B8C5E097A}"/>
    <hyperlink ref="N9" r:id="rId4" xr:uid="{DE891FB6-E5E8-4197-B771-8A4BCF25021B}"/>
  </hyperlinks>
  <pageMargins left="0.7" right="0.7" top="0.75" bottom="0.75" header="0.3" footer="0.3"/>
  <pageSetup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0FB-4F44-44C9-BD54-CA099149966A}">
  <dimension ref="A1:K6"/>
  <sheetViews>
    <sheetView workbookViewId="0">
      <selection activeCell="K3" sqref="K3"/>
    </sheetView>
  </sheetViews>
  <sheetFormatPr defaultRowHeight="14.5" x14ac:dyDescent="0.35"/>
  <cols>
    <col min="1" max="1" width="14.453125" bestFit="1" customWidth="1"/>
    <col min="2" max="2" width="14.26953125" bestFit="1" customWidth="1"/>
    <col min="3" max="3" width="10.1796875" bestFit="1" customWidth="1"/>
  </cols>
  <sheetData>
    <row r="1" spans="1:11" x14ac:dyDescent="0.35">
      <c r="A1" t="s">
        <v>75</v>
      </c>
      <c r="B1" t="s">
        <v>79</v>
      </c>
      <c r="C1" t="s">
        <v>80</v>
      </c>
      <c r="D1" t="s">
        <v>76</v>
      </c>
      <c r="E1" t="s">
        <v>77</v>
      </c>
      <c r="F1" t="s">
        <v>81</v>
      </c>
      <c r="K1" t="s">
        <v>92</v>
      </c>
    </row>
    <row r="2" spans="1:11" x14ac:dyDescent="0.35">
      <c r="A2" t="s">
        <v>78</v>
      </c>
      <c r="B2" t="s">
        <v>88</v>
      </c>
      <c r="C2">
        <v>1</v>
      </c>
      <c r="D2" s="13" t="s">
        <v>89</v>
      </c>
      <c r="E2">
        <v>0.3</v>
      </c>
      <c r="F2">
        <f>E2*C2</f>
        <v>0.3</v>
      </c>
      <c r="K2" t="s">
        <v>93</v>
      </c>
    </row>
    <row r="3" spans="1:11" x14ac:dyDescent="0.35">
      <c r="A3" t="s">
        <v>82</v>
      </c>
      <c r="C3">
        <v>3</v>
      </c>
      <c r="D3">
        <v>12</v>
      </c>
      <c r="E3">
        <v>4.0000000000000001E-3</v>
      </c>
      <c r="F3">
        <f>E3*C3</f>
        <v>1.2E-2</v>
      </c>
    </row>
    <row r="4" spans="1:11" x14ac:dyDescent="0.35">
      <c r="A4" t="s">
        <v>83</v>
      </c>
      <c r="C4">
        <v>1</v>
      </c>
      <c r="K4" t="s">
        <v>94</v>
      </c>
    </row>
    <row r="5" spans="1:11" x14ac:dyDescent="0.35">
      <c r="A5" t="s">
        <v>87</v>
      </c>
      <c r="B5" t="s">
        <v>84</v>
      </c>
      <c r="C5">
        <v>7</v>
      </c>
      <c r="D5" t="s">
        <v>90</v>
      </c>
      <c r="E5">
        <v>2.5999999999999999E-3</v>
      </c>
      <c r="F5">
        <f>E5*C5</f>
        <v>1.8200000000000001E-2</v>
      </c>
    </row>
    <row r="6" spans="1:11" x14ac:dyDescent="0.35">
      <c r="A6" t="s">
        <v>86</v>
      </c>
      <c r="B6" t="s">
        <v>85</v>
      </c>
      <c r="C6">
        <v>4</v>
      </c>
      <c r="D6" t="s">
        <v>91</v>
      </c>
      <c r="E6">
        <v>2E-3</v>
      </c>
      <c r="F6">
        <f>E6*C6</f>
        <v>8.0000000000000002E-3</v>
      </c>
      <c r="K6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Multi_String_Single_phase</vt:lpstr>
      <vt:lpstr>Original_Multiphase</vt:lpstr>
      <vt:lpstr>POL_Power_Breakdown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2021-12-07T15:51:58Z</dcterms:modified>
</cp:coreProperties>
</file>