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dows PC\Desktop\Badgerloop\git_repos\solar_car_hardware\MPPT\design\"/>
    </mc:Choice>
  </mc:AlternateContent>
  <xr:revisionPtr revIDLastSave="0" documentId="13_ncr:1_{8B6B6878-E192-4EC6-8E9A-89ADC5DCC17F}" xr6:coauthVersionLast="47" xr6:coauthVersionMax="47" xr10:uidLastSave="{00000000-0000-0000-0000-000000000000}"/>
  <bookViews>
    <workbookView xWindow="-110" yWindow="-110" windowWidth="19420" windowHeight="10420" xr2:uid="{632D32AA-A087-40DE-B097-47254B8CA429}"/>
  </bookViews>
  <sheets>
    <sheet name="Multi_String_Single_phase" sheetId="3" r:id="rId1"/>
    <sheet name="Original_Multiphase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3" i="3" l="1"/>
  <c r="H15" i="3"/>
  <c r="S9" i="1"/>
  <c r="S10" i="1" s="1"/>
  <c r="K30" i="1"/>
  <c r="K31" i="1"/>
  <c r="K25" i="3"/>
  <c r="H26" i="3"/>
  <c r="E14" i="3"/>
  <c r="E13" i="3"/>
  <c r="K29" i="1"/>
  <c r="K19" i="3"/>
  <c r="K18" i="3"/>
  <c r="B18" i="3"/>
  <c r="K17" i="3"/>
  <c r="K20" i="3" s="1"/>
  <c r="B17" i="3"/>
  <c r="K16" i="3"/>
  <c r="B16" i="3"/>
  <c r="E10" i="3"/>
  <c r="E8" i="3"/>
  <c r="K30" i="3" s="1"/>
  <c r="K31" i="3" s="1"/>
  <c r="K19" i="1"/>
  <c r="K18" i="1"/>
  <c r="K17" i="1"/>
  <c r="K20" i="1" s="1"/>
  <c r="K26" i="1" s="1"/>
  <c r="K16" i="1"/>
  <c r="H26" i="1"/>
  <c r="E10" i="1"/>
  <c r="H8" i="1"/>
  <c r="K9" i="1"/>
  <c r="K24" i="1" s="1"/>
  <c r="K8" i="1"/>
  <c r="K23" i="1" s="1"/>
  <c r="K25" i="1" s="1"/>
  <c r="H10" i="1"/>
  <c r="H15" i="1"/>
  <c r="E8" i="1"/>
  <c r="E12" i="1"/>
  <c r="E14" i="1" s="1"/>
  <c r="B19" i="1"/>
  <c r="E13" i="1"/>
  <c r="B18" i="1"/>
  <c r="B17" i="1"/>
  <c r="B16" i="1"/>
  <c r="H20" i="3" l="1"/>
  <c r="K28" i="3"/>
  <c r="K29" i="3" s="1"/>
  <c r="K9" i="3"/>
  <c r="K24" i="3" s="1"/>
  <c r="H8" i="3"/>
  <c r="H10" i="3" s="1"/>
  <c r="H22" i="3"/>
  <c r="H24" i="3" s="1"/>
  <c r="K26" i="3"/>
  <c r="K27" i="3" s="1"/>
  <c r="H21" i="3"/>
  <c r="B19" i="3"/>
  <c r="E12" i="3" s="1"/>
  <c r="K8" i="3"/>
  <c r="K23" i="3" s="1"/>
  <c r="K27" i="1"/>
  <c r="K28" i="1"/>
  <c r="H9" i="1"/>
  <c r="H20" i="1"/>
  <c r="H22" i="1" s="1"/>
  <c r="H23" i="1" s="1"/>
  <c r="H24" i="1" s="1"/>
  <c r="S9" i="3" l="1"/>
  <c r="S10" i="3" s="1"/>
  <c r="H9" i="3"/>
  <c r="H2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PC</author>
  </authors>
  <commentList>
    <comment ref="E7" authorId="0" shapeId="0" xr:uid="{C4638315-B48B-48DE-A9B9-BE8E74762BF5}">
      <text>
        <r>
          <rPr>
            <b/>
            <sz val="9"/>
            <color indexed="81"/>
            <rFont val="Tahoma"/>
            <charset val="1"/>
          </rPr>
          <t>S. Riggleman:
For 8 bit PWM Resolution, fPWM = ~280kHz</t>
        </r>
      </text>
    </comment>
    <comment ref="G8" authorId="0" shapeId="0" xr:uid="{6B63245F-A5B5-4702-BCAA-725EB06F4476}">
      <text>
        <r>
          <rPr>
            <b/>
            <sz val="9"/>
            <color indexed="81"/>
            <rFont val="Tahoma"/>
            <charset val="1"/>
          </rPr>
          <t>Windows PC:</t>
        </r>
        <r>
          <rPr>
            <sz val="9"/>
            <color indexed="81"/>
            <rFont val="Tahoma"/>
            <charset val="1"/>
          </rPr>
          <t xml:space="preserve">
Note on operating in DCM vs CCM:https://electronics.stackexchange.com/questions/571412/how-does-the-inductor-current-ripple-influence-a-switch-mode-power-supply</t>
        </r>
      </text>
    </comment>
    <comment ref="H8" authorId="0" shapeId="0" xr:uid="{08DDFE2B-2AFC-4708-BBE9-AA4783C690C1}">
      <text>
        <r>
          <rPr>
            <b/>
            <sz val="9"/>
            <color indexed="81"/>
            <rFont val="Tahoma"/>
            <charset val="1"/>
          </rPr>
          <t>S. Riggleman: 50% comes from diminishing returns of shrinking inductor past ripple value &gt; 50% of avg current</t>
        </r>
      </text>
    </comment>
    <comment ref="N8" authorId="0" shapeId="0" xr:uid="{36FFA6F8-CCA9-41B8-B8DD-5F3C49DC1192}">
      <text>
        <r>
          <rPr>
            <b/>
            <sz val="9"/>
            <color indexed="81"/>
            <rFont val="Tahoma"/>
            <family val="2"/>
          </rPr>
          <t>Shelby R:
Design for MIC4102 for PWM input, add a not gate that can be DNP normally, but populated if need to change dot MIC4103</t>
        </r>
      </text>
    </comment>
    <comment ref="G14" authorId="0" shapeId="0" xr:uid="{2D072AD2-0612-4777-9B01-271BE2591622}">
      <text>
        <r>
          <rPr>
            <b/>
            <sz val="9"/>
            <color indexed="81"/>
            <rFont val="Tahoma"/>
            <family val="2"/>
          </rPr>
          <t>Shelby R:
Alternative Part option:PA4349.104ANLT
Wurth chosen because of AC loss simulator</t>
        </r>
      </text>
    </comment>
    <comment ref="K14" authorId="0" shapeId="0" xr:uid="{7798945C-4F58-4F6F-9D7D-36AC90095635}">
      <text>
        <r>
          <rPr>
            <b/>
            <sz val="9"/>
            <color indexed="81"/>
            <rFont val="Tahoma"/>
            <charset val="1"/>
          </rPr>
          <t>S. Riggleman:
Chose as opposed to D2-Pak package due to chip shortage - 4200 available on Mouser and interchangable if necessary</t>
        </r>
      </text>
    </comment>
    <comment ref="J16" authorId="0" shapeId="0" xr:uid="{AAB8FCD8-8C36-4300-9FE2-D2B8A04F511B}">
      <text>
        <r>
          <rPr>
            <b/>
            <sz val="9"/>
            <color indexed="81"/>
            <rFont val="Tahoma"/>
            <charset val="1"/>
          </rPr>
          <t>Shelby R:
Excellent resource on gate charge characteristics: 
https://www.microsemi.com/document-portal/doc_view/14697-making-use-of-gate-charge-information-in-mosfet-and-igbt-data-sheets</t>
        </r>
      </text>
    </comment>
    <comment ref="K16" authorId="0" shapeId="0" xr:uid="{19BC1F6C-6807-49CB-8B63-D435A2E1D5B0}">
      <text>
        <r>
          <rPr>
            <sz val="9"/>
            <color indexed="81"/>
            <rFont val="Tahoma"/>
            <charset val="1"/>
          </rPr>
          <t>S. Riggleman:
The Total Gate Charge (Qg) is the amount of charge that needs to be injected into the gate electrode to turn ON (drive) the MOSFET.
https://www.rohm.com/electronics-basics/transistors/total-gate-charge</t>
        </r>
      </text>
    </comment>
    <comment ref="J17" authorId="0" shapeId="0" xr:uid="{E03F4A58-934D-4F90-BDBE-944945276722}">
      <text>
        <r>
          <rPr>
            <b/>
            <sz val="9"/>
            <color indexed="81"/>
            <rFont val="Tahoma"/>
            <charset val="1"/>
          </rPr>
          <t>Shelby R:
This is the charge that is relevant for switching losses = Qgd + (Qg-Qgd-Qgth)=Qsw</t>
        </r>
      </text>
    </comment>
    <comment ref="J19" authorId="0" shapeId="0" xr:uid="{CC48B0D2-67F7-4335-82FC-5FA63D01D5B7}">
      <text>
        <r>
          <rPr>
            <b/>
            <sz val="9"/>
            <color indexed="81"/>
            <rFont val="Tahoma"/>
            <charset val="1"/>
          </rPr>
          <t>Helpful page on benefits of low Qrr:
https://efficiencywins.nexperia.com/efficient-products/qrr-overlooked-and-underappreciated-in-efficiency-battle.html</t>
        </r>
      </text>
    </comment>
    <comment ref="H25" authorId="0" shapeId="0" xr:uid="{C6BCF19B-A17F-42C4-8FCB-0C6CA1CFAAA6}">
      <text>
        <r>
          <rPr>
            <b/>
            <sz val="9"/>
            <color indexed="81"/>
            <rFont val="Tahoma"/>
            <family val="2"/>
          </rPr>
          <t>S.Riggleman</t>
        </r>
        <r>
          <rPr>
            <sz val="9"/>
            <color indexed="81"/>
            <rFont val="Tahoma"/>
            <family val="2"/>
          </rPr>
          <t xml:space="preserve">
Taken from Wurth Loss calculator: https://redexpert.we-online.com/redexpert/#/module/7104/selecteditems/74437529203101/productdata/=74437529203101/type/+or+Single+Single_HV/Ir/gte:6A/Tris/lte:80K/Isat/gte:7.5A/applicationbar/LossCalculator/on/frequency/80kHz+0.5/inductorType/Single+Suitable/winding1/6A+DeltaIA+3A+2V+-2V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PC</author>
  </authors>
  <commentList>
    <comment ref="E7" authorId="0" shapeId="0" xr:uid="{5FBF964B-8E52-42FE-A1BE-4091C63B5871}">
      <text>
        <r>
          <rPr>
            <b/>
            <sz val="9"/>
            <color indexed="81"/>
            <rFont val="Tahoma"/>
            <charset val="1"/>
          </rPr>
          <t>S. Riggleman:
For 8 bit PWM Resolution, fPWM = ~280kHz</t>
        </r>
      </text>
    </comment>
    <comment ref="G8" authorId="0" shapeId="0" xr:uid="{8B9B384E-B41C-4BEF-9229-1A0C397CF8FF}">
      <text>
        <r>
          <rPr>
            <b/>
            <sz val="9"/>
            <color indexed="81"/>
            <rFont val="Tahoma"/>
            <charset val="1"/>
          </rPr>
          <t>Windows PC:</t>
        </r>
        <r>
          <rPr>
            <sz val="9"/>
            <color indexed="81"/>
            <rFont val="Tahoma"/>
            <charset val="1"/>
          </rPr>
          <t xml:space="preserve">
Note on operating in DCM vs CCM:https://electronics.stackexchange.com/questions/571412/how-does-the-inductor-current-ripple-influence-a-switch-mode-power-supply</t>
        </r>
      </text>
    </comment>
    <comment ref="H8" authorId="0" shapeId="0" xr:uid="{B0EC1784-8AED-4914-90B7-5529A0924461}">
      <text>
        <r>
          <rPr>
            <b/>
            <sz val="9"/>
            <color indexed="81"/>
            <rFont val="Tahoma"/>
            <charset val="1"/>
          </rPr>
          <t>S. Riggleman: 50% comes from diminishing returns of shrinking inductor past ripple value &gt; 50% of avg current</t>
        </r>
      </text>
    </comment>
    <comment ref="N8" authorId="0" shapeId="0" xr:uid="{E30345F2-9526-4B8A-90B1-45DC37C44DFE}">
      <text>
        <r>
          <rPr>
            <b/>
            <sz val="9"/>
            <color indexed="81"/>
            <rFont val="Tahoma"/>
            <family val="2"/>
          </rPr>
          <t>Shelby R:
Design for MIC4102 for PWM input, add a not gate that can be DNP normally, but populated if need to change dot MIC4103</t>
        </r>
      </text>
    </comment>
    <comment ref="K14" authorId="0" shapeId="0" xr:uid="{99931F6F-1D2B-4A35-AFF8-CFF17CC6F28A}">
      <text>
        <r>
          <rPr>
            <b/>
            <sz val="9"/>
            <color indexed="81"/>
            <rFont val="Tahoma"/>
            <charset val="1"/>
          </rPr>
          <t>S. Riggleman:
Chose as opposed to D2-Pak package due to chip shortage - 4200 available on Mouser and interchangable if necessary</t>
        </r>
      </text>
    </comment>
    <comment ref="J16" authorId="0" shapeId="0" xr:uid="{2DB8DF83-E7F4-4A3F-9C74-F723186D2C43}">
      <text>
        <r>
          <rPr>
            <b/>
            <sz val="9"/>
            <color indexed="81"/>
            <rFont val="Tahoma"/>
            <charset val="1"/>
          </rPr>
          <t>Shelby R:
Excellent resource on gate charge characteristics: 
https://www.microsemi.com/document-portal/doc_view/14697-making-use-of-gate-charge-information-in-mosfet-and-igbt-data-sheets</t>
        </r>
      </text>
    </comment>
    <comment ref="K16" authorId="0" shapeId="0" xr:uid="{AA3543EF-7AE4-4048-8AB5-AC00A783E811}">
      <text>
        <r>
          <rPr>
            <sz val="9"/>
            <color indexed="81"/>
            <rFont val="Tahoma"/>
            <charset val="1"/>
          </rPr>
          <t>S. Riggleman:
The Total Gate Charge (Qg) is the amount of charge that needs to be injected into the gate electrode to turn ON (drive) the MOSFET.
https://www.rohm.com/electronics-basics/transistors/total-gate-charge</t>
        </r>
      </text>
    </comment>
    <comment ref="J17" authorId="0" shapeId="0" xr:uid="{9F4733D5-1342-4FFD-8C3F-576434C79316}">
      <text>
        <r>
          <rPr>
            <b/>
            <sz val="9"/>
            <color indexed="81"/>
            <rFont val="Tahoma"/>
            <charset val="1"/>
          </rPr>
          <t>Shelby R:
This is the charge that is relevant for switching losses = Qgd + (Qg-Qgd-Qgth)=Qsw</t>
        </r>
      </text>
    </comment>
    <comment ref="J19" authorId="0" shapeId="0" xr:uid="{8FE40EFA-1036-474F-AB52-47115A34EEBB}">
      <text>
        <r>
          <rPr>
            <b/>
            <sz val="9"/>
            <color indexed="81"/>
            <rFont val="Tahoma"/>
            <charset val="1"/>
          </rPr>
          <t>Helpful page on benefits of low Qrr:
https://efficiencywins.nexperia.com/efficient-products/qrr-overlooked-and-underappreciated-in-efficiency-battle.html</t>
        </r>
      </text>
    </comment>
    <comment ref="H25" authorId="0" shapeId="0" xr:uid="{9E58D6B8-560A-4477-B10C-5AA42D61DA6B}">
      <text>
        <r>
          <rPr>
            <b/>
            <sz val="9"/>
            <color indexed="81"/>
            <rFont val="Tahoma"/>
            <family val="2"/>
          </rPr>
          <t>S.Riggleman</t>
        </r>
        <r>
          <rPr>
            <sz val="9"/>
            <color indexed="81"/>
            <rFont val="Tahoma"/>
            <family val="2"/>
          </rPr>
          <t xml:space="preserve">
Taken from coilcraft's loss comparison: https://www.coilcraft.com/en-us/tools/power-inductor-finder/#/search</t>
        </r>
      </text>
    </comment>
  </commentList>
</comments>
</file>

<file path=xl/sharedStrings.xml><?xml version="1.0" encoding="utf-8"?>
<sst xmlns="http://schemas.openxmlformats.org/spreadsheetml/2006/main" count="143" uniqueCount="69">
  <si>
    <t>Multiphase Boost Converter Design</t>
  </si>
  <si>
    <t>Reference:</t>
  </si>
  <si>
    <t>https://www.ti.com/seclit/wp/slup323/slup323.pdf</t>
  </si>
  <si>
    <t>Mpp Vin:</t>
  </si>
  <si>
    <t>Mpp Iin:</t>
  </si>
  <si>
    <t>Solar Array Configuration</t>
  </si>
  <si>
    <t>Number || Strings:</t>
  </si>
  <si>
    <t>String MPP Voltage:</t>
  </si>
  <si>
    <t>String MPP Current (A)</t>
  </si>
  <si>
    <t>Desired Vout:</t>
  </si>
  <si>
    <t>Battery Configuration</t>
  </si>
  <si>
    <t>Battery Nominal Voltage:</t>
  </si>
  <si>
    <t>Converter Input/Output</t>
  </si>
  <si>
    <t>System Specs</t>
  </si>
  <si>
    <t>Other System Constraints</t>
  </si>
  <si>
    <t>Switching Frequency:</t>
  </si>
  <si>
    <t xml:space="preserve">Number phases: </t>
  </si>
  <si>
    <t>MPP Duty Cycle:</t>
  </si>
  <si>
    <t>Assumed efficiency:</t>
  </si>
  <si>
    <t xml:space="preserve">Phase output current:  </t>
  </si>
  <si>
    <t>Component Selection &amp; Losses</t>
  </si>
  <si>
    <t>Inductor</t>
  </si>
  <si>
    <t xml:space="preserve">Allowable Ripple current pkpk </t>
  </si>
  <si>
    <t>Pin</t>
  </si>
  <si>
    <t>Total Output power:</t>
  </si>
  <si>
    <t>Switching Frequency Per Phase:</t>
  </si>
  <si>
    <t>Component Specific Values</t>
  </si>
  <si>
    <t>Part Number:</t>
  </si>
  <si>
    <t>IL Peak (Isat must be &gt;):</t>
  </si>
  <si>
    <t xml:space="preserve">Inductance: </t>
  </si>
  <si>
    <t xml:space="preserve">Part Number: </t>
  </si>
  <si>
    <t>DCR (Ohm):</t>
  </si>
  <si>
    <t>ISAT (A):</t>
  </si>
  <si>
    <t>Resultant Values</t>
  </si>
  <si>
    <t>Ripple Current Pkpk:</t>
  </si>
  <si>
    <t>IL Peak (A):</t>
  </si>
  <si>
    <t>DCR Losses Per Phase (W):</t>
  </si>
  <si>
    <t>Total DCR Losses(W)</t>
  </si>
  <si>
    <t>IL_RMS(A):</t>
  </si>
  <si>
    <t>FET</t>
  </si>
  <si>
    <t>RDSon (ohm):</t>
  </si>
  <si>
    <t>Boost FET RMS Current (A)</t>
  </si>
  <si>
    <t>Boost FET Condution Loss (W):</t>
  </si>
  <si>
    <t>Total Conduction Losses (W):</t>
  </si>
  <si>
    <t>SyncFET Conduction Loss (W):</t>
  </si>
  <si>
    <t>Sync FET RMS Current(A):</t>
  </si>
  <si>
    <t>Total SW Transition Losses (W):</t>
  </si>
  <si>
    <t>Gate Charge(Coul.)</t>
  </si>
  <si>
    <t>Qoss(Coul.)</t>
  </si>
  <si>
    <t>Ballpark Inductor Value:</t>
  </si>
  <si>
    <t>Phase avg input current:</t>
  </si>
  <si>
    <t>VER2923-223</t>
  </si>
  <si>
    <t>Core + Winding Losses Per Phase(W):</t>
  </si>
  <si>
    <t>Total Core Losses (W)</t>
  </si>
  <si>
    <t>Qrr</t>
  </si>
  <si>
    <t>Switching Charge (Coul.)</t>
  </si>
  <si>
    <t>FET Driver</t>
  </si>
  <si>
    <t>Source/Sink Current</t>
  </si>
  <si>
    <t>Turn on time (S)</t>
  </si>
  <si>
    <t>MIC4102</t>
  </si>
  <si>
    <t>Total Qoss Losses (W)</t>
  </si>
  <si>
    <t>SW Transition Losses (Boost) (W):</t>
  </si>
  <si>
    <t>Qoss Losses Per (All) FET:</t>
  </si>
  <si>
    <t>IPP075N15N3 G</t>
  </si>
  <si>
    <t>Qrr losses per (Boost) FET: (W)</t>
  </si>
  <si>
    <t>Total Qrr Losses:(W)</t>
  </si>
  <si>
    <t>Losses &amp; Efficiency</t>
  </si>
  <si>
    <t>Total Power Loss (W):</t>
  </si>
  <si>
    <t>Estimated Efficiency: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</si>
</sst>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1"/>
    <xf numFmtId="0" fontId="0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1" applyAlignment="1">
      <alignment horizontal="left" vertical="center" wrapText="1" indent="1"/>
    </xf>
    <xf numFmtId="0" fontId="0" fillId="0" borderId="0" xfId="0" applyBorder="1" applyAlignment="1">
      <alignment horizontal="center"/>
    </xf>
    <xf numFmtId="0" fontId="4" fillId="0" borderId="0" xfId="1" applyNumberFormat="1" applyAlignment="1">
      <alignment horizontal="left" vertical="center" wrapText="1" inden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igikey.com/en/products/detail/microchip-technology/MIC4102YM/771653" TargetMode="External"/><Relationship Id="rId2" Type="http://schemas.openxmlformats.org/officeDocument/2006/relationships/hyperlink" Target="https://www.mouser.com/ProductDetail/Wurth-Elektronik/74437529203101?qs=f9yNj16SXrJ9N1gkF91A1Q%3D%3D" TargetMode="External"/><Relationship Id="rId1" Type="http://schemas.openxmlformats.org/officeDocument/2006/relationships/hyperlink" Target="https://www.mouser.com/ProductDetail/Infineon-Technologies/IPP075N15N3-G?qs=mzcOS1kGbgcUKRttqIoCLg%3D%3D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igikey.com/en/products/detail/microchip-technology/MIC4102YM/771653" TargetMode="External"/><Relationship Id="rId2" Type="http://schemas.openxmlformats.org/officeDocument/2006/relationships/hyperlink" Target="https://www.mouser.com/ProductDetail/Infineon-Technologies/IPP075N15N3-G?qs=mzcOS1kGbgcUKRttqIoCLg%3D%3D" TargetMode="External"/><Relationship Id="rId1" Type="http://schemas.openxmlformats.org/officeDocument/2006/relationships/hyperlink" Target="https://www.coilcraft.com/en-us/products/power/shielded-inductors/high-current-flat-wire/agp-ver/ver2923/ver2923-223/" TargetMode="External"/><Relationship Id="rId6" Type="http://schemas.openxmlformats.org/officeDocument/2006/relationships/comments" Target="../comments2.xml"/><Relationship Id="rId5" Type="http://schemas.openxmlformats.org/officeDocument/2006/relationships/vmlDrawing" Target="../drawings/vmlDrawing2.vm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0EE43-D721-4343-AE35-2BE488142AE4}">
  <dimension ref="A1:T31"/>
  <sheetViews>
    <sheetView tabSelected="1" topLeftCell="D4" zoomScale="70" zoomScaleNormal="70" workbookViewId="0">
      <selection activeCell="M18" sqref="M18"/>
    </sheetView>
  </sheetViews>
  <sheetFormatPr defaultRowHeight="14.5" x14ac:dyDescent="0.35"/>
  <cols>
    <col min="1" max="1" width="21.54296875" customWidth="1"/>
    <col min="4" max="4" width="27.1796875" bestFit="1" customWidth="1"/>
    <col min="7" max="7" width="32.1796875" bestFit="1" customWidth="1"/>
    <col min="8" max="8" width="12.7265625" bestFit="1" customWidth="1"/>
    <col min="10" max="10" width="26.54296875" bestFit="1" customWidth="1"/>
    <col min="11" max="11" width="15.7265625" customWidth="1"/>
    <col min="13" max="13" width="17.7265625" bestFit="1" customWidth="1"/>
    <col min="18" max="18" width="19" bestFit="1" customWidth="1"/>
  </cols>
  <sheetData>
    <row r="1" spans="1:20" x14ac:dyDescent="0.35">
      <c r="A1" s="8" t="s">
        <v>0</v>
      </c>
      <c r="B1" s="8"/>
      <c r="C1" s="8"/>
      <c r="D1" s="8"/>
      <c r="E1" s="8"/>
    </row>
    <row r="2" spans="1:20" x14ac:dyDescent="0.35">
      <c r="A2" s="8"/>
      <c r="B2" s="8"/>
      <c r="C2" s="8"/>
      <c r="D2" s="8"/>
      <c r="E2" s="8"/>
    </row>
    <row r="3" spans="1:20" x14ac:dyDescent="0.35">
      <c r="A3" t="s">
        <v>1</v>
      </c>
      <c r="B3" t="s">
        <v>2</v>
      </c>
    </row>
    <row r="5" spans="1:20" x14ac:dyDescent="0.35">
      <c r="A5" s="3" t="s">
        <v>13</v>
      </c>
      <c r="D5" s="9" t="s">
        <v>14</v>
      </c>
      <c r="E5" s="9"/>
      <c r="F5" s="9"/>
      <c r="G5" s="9" t="s">
        <v>20</v>
      </c>
      <c r="H5" s="9"/>
      <c r="I5" s="9"/>
      <c r="J5" s="9"/>
      <c r="K5" s="9"/>
      <c r="L5" s="9"/>
      <c r="M5" s="9"/>
      <c r="N5" s="9"/>
    </row>
    <row r="7" spans="1:20" x14ac:dyDescent="0.35">
      <c r="A7" s="1" t="s">
        <v>5</v>
      </c>
      <c r="D7" t="s">
        <v>15</v>
      </c>
      <c r="E7">
        <v>80000</v>
      </c>
      <c r="G7" s="6" t="s">
        <v>21</v>
      </c>
      <c r="H7" s="7"/>
      <c r="J7" s="6" t="s">
        <v>39</v>
      </c>
      <c r="K7" s="7"/>
      <c r="L7" s="7"/>
      <c r="M7" s="7" t="s">
        <v>56</v>
      </c>
      <c r="N7" s="7"/>
      <c r="O7" s="7"/>
      <c r="P7" s="7"/>
      <c r="R7" s="11" t="s">
        <v>66</v>
      </c>
      <c r="S7" s="11"/>
      <c r="T7" s="11"/>
    </row>
    <row r="8" spans="1:20" x14ac:dyDescent="0.35">
      <c r="A8" t="s">
        <v>6</v>
      </c>
      <c r="B8">
        <v>3</v>
      </c>
      <c r="D8" t="s">
        <v>25</v>
      </c>
      <c r="E8">
        <f>E7/E9</f>
        <v>80000</v>
      </c>
      <c r="G8" t="s">
        <v>22</v>
      </c>
      <c r="H8">
        <f>E13*0.5</f>
        <v>3</v>
      </c>
      <c r="J8" t="s">
        <v>41</v>
      </c>
      <c r="K8">
        <f>SQRT(E10)*E13</f>
        <v>4.2107006542854597</v>
      </c>
      <c r="M8" t="s">
        <v>27</v>
      </c>
      <c r="N8" s="4" t="s">
        <v>59</v>
      </c>
    </row>
    <row r="9" spans="1:20" x14ac:dyDescent="0.35">
      <c r="A9" t="s">
        <v>7</v>
      </c>
      <c r="B9">
        <v>48.72</v>
      </c>
      <c r="D9" t="s">
        <v>16</v>
      </c>
      <c r="E9">
        <v>1</v>
      </c>
      <c r="G9" t="s">
        <v>49</v>
      </c>
      <c r="H9">
        <f>(B16*E10)/(H8*E8)</f>
        <v>9.9977499999999989E-5</v>
      </c>
      <c r="J9" t="s">
        <v>45</v>
      </c>
      <c r="K9">
        <f>SQRT(1-E10)*E13</f>
        <v>4.2743420546325028</v>
      </c>
      <c r="R9" t="s">
        <v>67</v>
      </c>
      <c r="S9">
        <f>SUM(K31,K29,K27,K25,H26,H24)</f>
        <v>21.073461816358456</v>
      </c>
    </row>
    <row r="10" spans="1:20" x14ac:dyDescent="0.35">
      <c r="A10" t="s">
        <v>8</v>
      </c>
      <c r="B10">
        <v>6</v>
      </c>
      <c r="D10" t="s">
        <v>17</v>
      </c>
      <c r="E10">
        <f>(B18-B16)/B18</f>
        <v>0.49249999999999999</v>
      </c>
      <c r="G10" t="s">
        <v>28</v>
      </c>
      <c r="H10">
        <f>(H8/2) + E13</f>
        <v>7.5</v>
      </c>
      <c r="R10" t="s">
        <v>68</v>
      </c>
      <c r="S10">
        <f>((B19-S9)/B19)</f>
        <v>0.97596987112712275</v>
      </c>
    </row>
    <row r="11" spans="1:20" x14ac:dyDescent="0.35">
      <c r="D11" t="s">
        <v>18</v>
      </c>
      <c r="E11">
        <v>0.95</v>
      </c>
      <c r="M11" t="s">
        <v>57</v>
      </c>
      <c r="N11">
        <v>3</v>
      </c>
    </row>
    <row r="12" spans="1:20" x14ac:dyDescent="0.35">
      <c r="A12" s="1" t="s">
        <v>10</v>
      </c>
      <c r="D12" t="s">
        <v>24</v>
      </c>
      <c r="E12">
        <f>E11*B19</f>
        <v>833.11199999999997</v>
      </c>
    </row>
    <row r="13" spans="1:20" x14ac:dyDescent="0.35">
      <c r="A13" t="s">
        <v>11</v>
      </c>
      <c r="B13">
        <v>96</v>
      </c>
      <c r="D13" t="s">
        <v>50</v>
      </c>
      <c r="E13">
        <f>(B17/B8)</f>
        <v>6</v>
      </c>
      <c r="G13" s="6" t="s">
        <v>26</v>
      </c>
      <c r="H13" s="6"/>
      <c r="J13" s="6" t="s">
        <v>26</v>
      </c>
      <c r="K13" s="7"/>
    </row>
    <row r="14" spans="1:20" x14ac:dyDescent="0.35">
      <c r="D14" t="s">
        <v>19</v>
      </c>
      <c r="E14">
        <f>(E12/B8)/B18</f>
        <v>2.8927499999999999</v>
      </c>
      <c r="G14" t="s">
        <v>30</v>
      </c>
      <c r="H14" s="12">
        <v>74437529203101</v>
      </c>
      <c r="J14" t="s">
        <v>27</v>
      </c>
      <c r="K14" s="10" t="s">
        <v>63</v>
      </c>
    </row>
    <row r="15" spans="1:20" x14ac:dyDescent="0.35">
      <c r="A15" s="1" t="s">
        <v>12</v>
      </c>
      <c r="G15" t="s">
        <v>29</v>
      </c>
      <c r="H15">
        <f>100*POWER(10,-6)</f>
        <v>9.9999999999999991E-5</v>
      </c>
      <c r="J15" t="s">
        <v>40</v>
      </c>
      <c r="K15">
        <v>7.1999999999999998E-3</v>
      </c>
    </row>
    <row r="16" spans="1:20" x14ac:dyDescent="0.35">
      <c r="A16" t="s">
        <v>3</v>
      </c>
      <c r="B16">
        <f>B9</f>
        <v>48.72</v>
      </c>
      <c r="G16" t="s">
        <v>31</v>
      </c>
      <c r="H16">
        <v>2.29E-2</v>
      </c>
      <c r="J16" t="s">
        <v>47</v>
      </c>
      <c r="K16">
        <f>70*POWER(10,-9)</f>
        <v>7.0000000000000005E-8</v>
      </c>
    </row>
    <row r="17" spans="1:11" x14ac:dyDescent="0.35">
      <c r="A17" t="s">
        <v>4</v>
      </c>
      <c r="B17">
        <f>B8*B10</f>
        <v>18</v>
      </c>
      <c r="G17" t="s">
        <v>32</v>
      </c>
      <c r="H17">
        <v>9.4</v>
      </c>
      <c r="J17" t="s">
        <v>55</v>
      </c>
      <c r="K17">
        <f>56*POWER(10,-9)</f>
        <v>5.6000000000000005E-8</v>
      </c>
    </row>
    <row r="18" spans="1:11" x14ac:dyDescent="0.35">
      <c r="A18" t="s">
        <v>9</v>
      </c>
      <c r="B18">
        <f>B13</f>
        <v>96</v>
      </c>
      <c r="J18" t="s">
        <v>48</v>
      </c>
      <c r="K18">
        <f>179*POWER(10,-9)</f>
        <v>1.79E-7</v>
      </c>
    </row>
    <row r="19" spans="1:11" x14ac:dyDescent="0.35">
      <c r="A19" t="s">
        <v>23</v>
      </c>
      <c r="B19">
        <f>B16*B17</f>
        <v>876.96</v>
      </c>
      <c r="G19" s="6" t="s">
        <v>33</v>
      </c>
      <c r="H19" s="6"/>
      <c r="J19" t="s">
        <v>54</v>
      </c>
      <c r="K19">
        <f>478*POWER(10,-9)</f>
        <v>4.7800000000000002E-7</v>
      </c>
    </row>
    <row r="20" spans="1:11" x14ac:dyDescent="0.35">
      <c r="G20" s="5" t="s">
        <v>34</v>
      </c>
      <c r="H20">
        <f>(B16*E10)/(H15*E8)</f>
        <v>2.9993250000000002</v>
      </c>
      <c r="J20" t="s">
        <v>58</v>
      </c>
      <c r="K20">
        <f>K17/N11</f>
        <v>1.8666666666666668E-8</v>
      </c>
    </row>
    <row r="21" spans="1:11" x14ac:dyDescent="0.35">
      <c r="G21" s="5" t="s">
        <v>35</v>
      </c>
      <c r="H21">
        <f>E13+(0.5*H20)</f>
        <v>7.4996625000000003</v>
      </c>
    </row>
    <row r="22" spans="1:11" x14ac:dyDescent="0.35">
      <c r="G22" s="5" t="s">
        <v>38</v>
      </c>
      <c r="H22">
        <f>SQRT(POWER(E13,2) + POWER(H20/SQRT(12),2))</f>
        <v>6.0621499930279485</v>
      </c>
      <c r="J22" s="6" t="s">
        <v>33</v>
      </c>
      <c r="K22" s="7"/>
    </row>
    <row r="23" spans="1:11" x14ac:dyDescent="0.35">
      <c r="G23" s="5" t="s">
        <v>36</v>
      </c>
      <c r="H23">
        <f>POWER(H22,2)*H16</f>
        <v>0.84156727211948457</v>
      </c>
      <c r="J23" t="s">
        <v>42</v>
      </c>
      <c r="K23">
        <f>POWER(K8,2)*K15</f>
        <v>0.12765599999999996</v>
      </c>
    </row>
    <row r="24" spans="1:11" x14ac:dyDescent="0.35">
      <c r="G24" s="5" t="s">
        <v>37</v>
      </c>
      <c r="H24">
        <f>H23*B8</f>
        <v>2.5247018163584536</v>
      </c>
      <c r="J24" t="s">
        <v>44</v>
      </c>
      <c r="K24">
        <f>POWER(K9,2)*K15</f>
        <v>0.13154400000000005</v>
      </c>
    </row>
    <row r="25" spans="1:11" x14ac:dyDescent="0.35">
      <c r="G25" s="5" t="s">
        <v>52</v>
      </c>
      <c r="H25">
        <v>1.78E-2</v>
      </c>
      <c r="J25" t="s">
        <v>43</v>
      </c>
      <c r="K25">
        <f>SUM(K23:K24)*B8</f>
        <v>0.77759999999999996</v>
      </c>
    </row>
    <row r="26" spans="1:11" x14ac:dyDescent="0.35">
      <c r="G26" s="5" t="s">
        <v>53</v>
      </c>
      <c r="H26">
        <f>H25*B8</f>
        <v>5.3400000000000003E-2</v>
      </c>
      <c r="J26" t="s">
        <v>61</v>
      </c>
      <c r="K26">
        <f>B18*E13*K20*E8</f>
        <v>0.86016000000000015</v>
      </c>
    </row>
    <row r="27" spans="1:11" x14ac:dyDescent="0.35">
      <c r="J27" t="s">
        <v>46</v>
      </c>
      <c r="K27">
        <f>K26*B8</f>
        <v>2.5804800000000006</v>
      </c>
    </row>
    <row r="28" spans="1:11" x14ac:dyDescent="0.35">
      <c r="J28" t="s">
        <v>62</v>
      </c>
      <c r="K28">
        <f>(K18/2)*B18*E8</f>
        <v>0.68735999999999997</v>
      </c>
    </row>
    <row r="29" spans="1:11" x14ac:dyDescent="0.35">
      <c r="J29" t="s">
        <v>60</v>
      </c>
      <c r="K29">
        <f>K28*2*B8</f>
        <v>4.1241599999999998</v>
      </c>
    </row>
    <row r="30" spans="1:11" x14ac:dyDescent="0.35">
      <c r="J30" t="s">
        <v>64</v>
      </c>
      <c r="K30">
        <f>K19*B18*E8</f>
        <v>3.6710400000000005</v>
      </c>
    </row>
    <row r="31" spans="1:11" x14ac:dyDescent="0.35">
      <c r="J31" t="s">
        <v>65</v>
      </c>
      <c r="K31">
        <f>K30*B8</f>
        <v>11.013120000000001</v>
      </c>
    </row>
  </sheetData>
  <mergeCells count="11">
    <mergeCell ref="G13:H13"/>
    <mergeCell ref="J13:K13"/>
    <mergeCell ref="G19:H19"/>
    <mergeCell ref="J22:K22"/>
    <mergeCell ref="R7:T7"/>
    <mergeCell ref="A1:E2"/>
    <mergeCell ref="D5:F5"/>
    <mergeCell ref="G5:N5"/>
    <mergeCell ref="G7:H7"/>
    <mergeCell ref="J7:L7"/>
    <mergeCell ref="M7:P7"/>
  </mergeCells>
  <hyperlinks>
    <hyperlink ref="K14" r:id="rId1" xr:uid="{0659C5BF-1BC6-4969-8EFC-68C7F5058594}"/>
    <hyperlink ref="H14" r:id="rId2" display="https://www.mouser.com/ProductDetail/Wurth-Elektronik/74437529203101?qs=f9yNj16SXrJ9N1gkF91A1Q%3D%3D" xr:uid="{C5698292-4A4E-457B-A7B0-B92AF5852830}"/>
    <hyperlink ref="N8" r:id="rId3" xr:uid="{60702E27-9954-4BEA-853A-9CFF3E8394F2}"/>
  </hyperlinks>
  <pageMargins left="0.7" right="0.7" top="0.75" bottom="0.75" header="0.3" footer="0.3"/>
  <pageSetup orientation="portrait" r:id="rId4"/>
  <legacy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21004-1896-46EC-BBDE-67F57C6F91C3}">
  <dimension ref="A1:T31"/>
  <sheetViews>
    <sheetView topLeftCell="C1" zoomScale="70" zoomScaleNormal="70" workbookViewId="0">
      <selection activeCell="M17" sqref="M17"/>
    </sheetView>
  </sheetViews>
  <sheetFormatPr defaultRowHeight="14.5" x14ac:dyDescent="0.35"/>
  <cols>
    <col min="1" max="1" width="21.54296875" customWidth="1"/>
    <col min="4" max="4" width="27.1796875" bestFit="1" customWidth="1"/>
    <col min="7" max="7" width="32.1796875" bestFit="1" customWidth="1"/>
    <col min="8" max="8" width="11.453125" customWidth="1"/>
    <col min="10" max="10" width="26.54296875" bestFit="1" customWidth="1"/>
    <col min="11" max="11" width="15.7265625" customWidth="1"/>
    <col min="13" max="13" width="17.7265625" bestFit="1" customWidth="1"/>
    <col min="18" max="18" width="19" bestFit="1" customWidth="1"/>
  </cols>
  <sheetData>
    <row r="1" spans="1:20" x14ac:dyDescent="0.35">
      <c r="A1" s="8" t="s">
        <v>0</v>
      </c>
      <c r="B1" s="8"/>
      <c r="C1" s="8"/>
      <c r="D1" s="8"/>
      <c r="E1" s="8"/>
    </row>
    <row r="2" spans="1:20" x14ac:dyDescent="0.35">
      <c r="A2" s="8"/>
      <c r="B2" s="8"/>
      <c r="C2" s="8"/>
      <c r="D2" s="8"/>
      <c r="E2" s="8"/>
    </row>
    <row r="3" spans="1:20" x14ac:dyDescent="0.35">
      <c r="A3" t="s">
        <v>1</v>
      </c>
      <c r="B3" t="s">
        <v>2</v>
      </c>
    </row>
    <row r="5" spans="1:20" x14ac:dyDescent="0.35">
      <c r="A5" s="2" t="s">
        <v>13</v>
      </c>
      <c r="D5" s="9" t="s">
        <v>14</v>
      </c>
      <c r="E5" s="9"/>
      <c r="F5" s="9"/>
      <c r="G5" s="9" t="s">
        <v>20</v>
      </c>
      <c r="H5" s="9"/>
      <c r="I5" s="9"/>
      <c r="J5" s="9"/>
      <c r="K5" s="9"/>
      <c r="L5" s="9"/>
      <c r="M5" s="9"/>
      <c r="N5" s="9"/>
    </row>
    <row r="7" spans="1:20" x14ac:dyDescent="0.35">
      <c r="A7" s="1" t="s">
        <v>5</v>
      </c>
      <c r="D7" t="s">
        <v>15</v>
      </c>
      <c r="E7">
        <v>450000</v>
      </c>
      <c r="G7" s="6" t="s">
        <v>21</v>
      </c>
      <c r="H7" s="7"/>
      <c r="J7" s="6" t="s">
        <v>39</v>
      </c>
      <c r="K7" s="7"/>
      <c r="L7" s="7"/>
      <c r="M7" s="7" t="s">
        <v>56</v>
      </c>
      <c r="N7" s="7"/>
      <c r="O7" s="7"/>
      <c r="P7" s="7"/>
      <c r="R7" s="11" t="s">
        <v>66</v>
      </c>
      <c r="S7" s="11"/>
      <c r="T7" s="11"/>
    </row>
    <row r="8" spans="1:20" x14ac:dyDescent="0.35">
      <c r="A8" t="s">
        <v>6</v>
      </c>
      <c r="B8">
        <v>3</v>
      </c>
      <c r="D8" t="s">
        <v>25</v>
      </c>
      <c r="E8">
        <f>E7/E9</f>
        <v>225000</v>
      </c>
      <c r="G8" t="s">
        <v>22</v>
      </c>
      <c r="H8">
        <f>E13*0.5</f>
        <v>4.5</v>
      </c>
      <c r="J8" t="s">
        <v>41</v>
      </c>
      <c r="K8">
        <f>SQRT(E10)*E13</f>
        <v>6.3160509814281891</v>
      </c>
      <c r="M8" t="s">
        <v>27</v>
      </c>
      <c r="N8" s="4" t="s">
        <v>59</v>
      </c>
    </row>
    <row r="9" spans="1:20" x14ac:dyDescent="0.35">
      <c r="A9" t="s">
        <v>7</v>
      </c>
      <c r="B9">
        <v>48.72</v>
      </c>
      <c r="D9" t="s">
        <v>16</v>
      </c>
      <c r="E9">
        <v>2</v>
      </c>
      <c r="G9" t="s">
        <v>49</v>
      </c>
      <c r="H9">
        <f>(B16*E10)/(H8*E8)</f>
        <v>2.3698370370370368E-5</v>
      </c>
      <c r="J9" t="s">
        <v>45</v>
      </c>
      <c r="K9">
        <f>SQRT(1-E10)*E13</f>
        <v>6.4115130819487538</v>
      </c>
      <c r="R9" t="s">
        <v>67</v>
      </c>
      <c r="S9">
        <f>SUM(K31,K29,K27,K25,H26,H24)</f>
        <v>40.475782132134938</v>
      </c>
    </row>
    <row r="10" spans="1:20" x14ac:dyDescent="0.35">
      <c r="A10" t="s">
        <v>8</v>
      </c>
      <c r="B10">
        <v>6</v>
      </c>
      <c r="D10" t="s">
        <v>17</v>
      </c>
      <c r="E10">
        <f>(B18-B16)/B18</f>
        <v>0.49249999999999999</v>
      </c>
      <c r="G10" t="s">
        <v>28</v>
      </c>
      <c r="H10">
        <f>(H8/2) + E13</f>
        <v>11.25</v>
      </c>
      <c r="R10" t="s">
        <v>68</v>
      </c>
      <c r="S10">
        <f>((B19-S9)/B19)</f>
        <v>0.95384534969424506</v>
      </c>
    </row>
    <row r="11" spans="1:20" x14ac:dyDescent="0.35">
      <c r="D11" t="s">
        <v>18</v>
      </c>
      <c r="E11">
        <v>0.95</v>
      </c>
      <c r="M11" t="s">
        <v>57</v>
      </c>
      <c r="N11">
        <v>3</v>
      </c>
    </row>
    <row r="12" spans="1:20" x14ac:dyDescent="0.35">
      <c r="A12" s="1" t="s">
        <v>10</v>
      </c>
      <c r="D12" t="s">
        <v>24</v>
      </c>
      <c r="E12">
        <f>E11*B19</f>
        <v>833.11199999999997</v>
      </c>
    </row>
    <row r="13" spans="1:20" x14ac:dyDescent="0.35">
      <c r="A13" t="s">
        <v>11</v>
      </c>
      <c r="B13">
        <v>96</v>
      </c>
      <c r="D13" t="s">
        <v>50</v>
      </c>
      <c r="E13">
        <f>(B17/E9)</f>
        <v>9</v>
      </c>
      <c r="G13" s="6" t="s">
        <v>26</v>
      </c>
      <c r="H13" s="6"/>
      <c r="J13" s="6" t="s">
        <v>26</v>
      </c>
      <c r="K13" s="7"/>
    </row>
    <row r="14" spans="1:20" x14ac:dyDescent="0.35">
      <c r="D14" t="s">
        <v>19</v>
      </c>
      <c r="E14">
        <f>(E12/E9)/B18</f>
        <v>4.3391250000000001</v>
      </c>
      <c r="G14" t="s">
        <v>30</v>
      </c>
      <c r="H14" s="4" t="s">
        <v>51</v>
      </c>
      <c r="J14" t="s">
        <v>27</v>
      </c>
      <c r="K14" s="10" t="s">
        <v>63</v>
      </c>
    </row>
    <row r="15" spans="1:20" x14ac:dyDescent="0.35">
      <c r="A15" s="1" t="s">
        <v>12</v>
      </c>
      <c r="G15" t="s">
        <v>29</v>
      </c>
      <c r="H15">
        <f>22*POWER(10,-6)</f>
        <v>2.1999999999999999E-5</v>
      </c>
      <c r="J15" t="s">
        <v>40</v>
      </c>
      <c r="K15">
        <v>7.1999999999999998E-3</v>
      </c>
    </row>
    <row r="16" spans="1:20" x14ac:dyDescent="0.35">
      <c r="A16" t="s">
        <v>3</v>
      </c>
      <c r="B16">
        <f>B9</f>
        <v>48.72</v>
      </c>
      <c r="G16" t="s">
        <v>31</v>
      </c>
      <c r="H16">
        <v>2.5999999999999999E-3</v>
      </c>
      <c r="J16" t="s">
        <v>47</v>
      </c>
      <c r="K16">
        <f>70*POWER(10,-9)</f>
        <v>7.0000000000000005E-8</v>
      </c>
    </row>
    <row r="17" spans="1:11" x14ac:dyDescent="0.35">
      <c r="A17" t="s">
        <v>4</v>
      </c>
      <c r="B17">
        <f>B8*B10</f>
        <v>18</v>
      </c>
      <c r="G17" t="s">
        <v>32</v>
      </c>
      <c r="H17">
        <v>14.7</v>
      </c>
      <c r="J17" t="s">
        <v>55</v>
      </c>
      <c r="K17">
        <f>56*POWER(10,-9)</f>
        <v>5.6000000000000005E-8</v>
      </c>
    </row>
    <row r="18" spans="1:11" x14ac:dyDescent="0.35">
      <c r="A18" t="s">
        <v>9</v>
      </c>
      <c r="B18">
        <f>B13</f>
        <v>96</v>
      </c>
      <c r="J18" t="s">
        <v>48</v>
      </c>
      <c r="K18">
        <f>179*POWER(10,-9)</f>
        <v>1.79E-7</v>
      </c>
    </row>
    <row r="19" spans="1:11" x14ac:dyDescent="0.35">
      <c r="A19" t="s">
        <v>23</v>
      </c>
      <c r="B19">
        <f>B16*B17</f>
        <v>876.96</v>
      </c>
      <c r="G19" s="6" t="s">
        <v>33</v>
      </c>
      <c r="H19" s="6"/>
      <c r="J19" t="s">
        <v>54</v>
      </c>
      <c r="K19">
        <f>478*POWER(10,-9)</f>
        <v>4.7800000000000002E-7</v>
      </c>
    </row>
    <row r="20" spans="1:11" x14ac:dyDescent="0.35">
      <c r="G20" s="5" t="s">
        <v>34</v>
      </c>
      <c r="H20">
        <f>(B16*E10)/(H15*E8)</f>
        <v>4.8473939393939389</v>
      </c>
      <c r="J20" t="s">
        <v>58</v>
      </c>
      <c r="K20">
        <f>K17/N11</f>
        <v>1.8666666666666668E-8</v>
      </c>
    </row>
    <row r="21" spans="1:11" x14ac:dyDescent="0.35">
      <c r="G21" s="5" t="s">
        <v>35</v>
      </c>
      <c r="H21">
        <f>E13+(0.5*H20)</f>
        <v>11.423696969696969</v>
      </c>
    </row>
    <row r="22" spans="1:11" x14ac:dyDescent="0.35">
      <c r="G22" s="5" t="s">
        <v>38</v>
      </c>
      <c r="H22">
        <f>SQRT(POWER(E13,2) + POWER(H20/SQRT(12),2))</f>
        <v>9.1081338557159679</v>
      </c>
      <c r="J22" s="6" t="s">
        <v>33</v>
      </c>
      <c r="K22" s="7"/>
    </row>
    <row r="23" spans="1:11" x14ac:dyDescent="0.35">
      <c r="G23" s="5" t="s">
        <v>36</v>
      </c>
      <c r="H23">
        <f>POWER(H22,2)*H16</f>
        <v>0.21569106606746252</v>
      </c>
      <c r="J23" t="s">
        <v>42</v>
      </c>
      <c r="K23">
        <f>POWER(K8,2)*K15</f>
        <v>0.28722599999999993</v>
      </c>
    </row>
    <row r="24" spans="1:11" x14ac:dyDescent="0.35">
      <c r="G24" s="5" t="s">
        <v>37</v>
      </c>
      <c r="H24">
        <f>H23*E9</f>
        <v>0.43138213213492504</v>
      </c>
      <c r="J24" t="s">
        <v>44</v>
      </c>
      <c r="K24">
        <f>POWER(K9,2)*K15</f>
        <v>0.29597400000000007</v>
      </c>
    </row>
    <row r="25" spans="1:11" x14ac:dyDescent="0.35">
      <c r="G25" s="5" t="s">
        <v>52</v>
      </c>
      <c r="H25">
        <v>1.619</v>
      </c>
      <c r="J25" t="s">
        <v>43</v>
      </c>
      <c r="K25">
        <f>SUM(K23:K24)*E9</f>
        <v>1.1663999999999999</v>
      </c>
    </row>
    <row r="26" spans="1:11" x14ac:dyDescent="0.35">
      <c r="G26" s="5" t="s">
        <v>53</v>
      </c>
      <c r="H26">
        <f>H25*E9</f>
        <v>3.238</v>
      </c>
      <c r="J26" t="s">
        <v>61</v>
      </c>
      <c r="K26">
        <f>B18*E13*K20*E8</f>
        <v>3.6288000000000005</v>
      </c>
    </row>
    <row r="27" spans="1:11" x14ac:dyDescent="0.35">
      <c r="J27" t="s">
        <v>46</v>
      </c>
      <c r="K27">
        <f>K26*E9</f>
        <v>7.2576000000000009</v>
      </c>
    </row>
    <row r="28" spans="1:11" x14ac:dyDescent="0.35">
      <c r="J28" t="s">
        <v>62</v>
      </c>
      <c r="K28">
        <f>(K18/2)*B18*E8</f>
        <v>1.9332</v>
      </c>
    </row>
    <row r="29" spans="1:11" x14ac:dyDescent="0.35">
      <c r="J29" t="s">
        <v>60</v>
      </c>
      <c r="K29">
        <f>K28*2*E9</f>
        <v>7.7328000000000001</v>
      </c>
    </row>
    <row r="30" spans="1:11" x14ac:dyDescent="0.35">
      <c r="J30" t="s">
        <v>64</v>
      </c>
      <c r="K30">
        <f>K19*B18*E8</f>
        <v>10.324800000000002</v>
      </c>
    </row>
    <row r="31" spans="1:11" x14ac:dyDescent="0.35">
      <c r="J31" t="s">
        <v>65</v>
      </c>
      <c r="K31">
        <f>K30*E9</f>
        <v>20.649600000000003</v>
      </c>
    </row>
  </sheetData>
  <mergeCells count="11">
    <mergeCell ref="R7:T7"/>
    <mergeCell ref="G13:H13"/>
    <mergeCell ref="G19:H19"/>
    <mergeCell ref="J13:K13"/>
    <mergeCell ref="J22:K22"/>
    <mergeCell ref="A1:E2"/>
    <mergeCell ref="D5:F5"/>
    <mergeCell ref="G5:N5"/>
    <mergeCell ref="G7:H7"/>
    <mergeCell ref="J7:L7"/>
    <mergeCell ref="M7:P7"/>
  </mergeCells>
  <hyperlinks>
    <hyperlink ref="H14" r:id="rId1" xr:uid="{D2437223-55EC-4ADD-8FEA-0B638A64EC0B}"/>
    <hyperlink ref="K14" r:id="rId2" xr:uid="{B236F431-81E3-4F17-BFE4-7EF14C8587EF}"/>
    <hyperlink ref="N8" r:id="rId3" xr:uid="{DC87458B-4210-4677-9A1D-A7107BA34E04}"/>
  </hyperlinks>
  <pageMargins left="0.7" right="0.7" top="0.75" bottom="0.75" header="0.3" footer="0.3"/>
  <pageSetup orientation="portrait" r:id="rId4"/>
  <legacy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Multi_String_Single_phase</vt:lpstr>
      <vt:lpstr>Original_Multiphase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PC</dc:creator>
  <cp:lastModifiedBy>Windows PC</cp:lastModifiedBy>
  <dcterms:created xsi:type="dcterms:W3CDTF">2021-11-13T21:42:04Z</dcterms:created>
  <dcterms:modified xsi:type="dcterms:W3CDTF">2021-12-05T17:45:33Z</dcterms:modified>
</cp:coreProperties>
</file>