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9815" windowHeight="7665"/>
  </bookViews>
  <sheets>
    <sheet name="Matrix 1&amp;2" sheetId="8" r:id="rId1"/>
    <sheet name="Layout for shadhous 1&amp;2" sheetId="3" r:id="rId2"/>
    <sheet name="Layout for trees left" sheetId="4" r:id="rId3"/>
    <sheet name="Layout for trees right" sheetId="5" r:id="rId4"/>
    <sheet name="Layout for shadhous 3" sheetId="6" r:id="rId5"/>
    <sheet name="Category details" sheetId="7" r:id="rId6"/>
  </sheets>
  <definedNames>
    <definedName name="_xlnm._FilterDatabase" localSheetId="1" hidden="1">'Layout for shadhous 1&amp;2'!$B$53:$C$53</definedName>
    <definedName name="_xlnm._FilterDatabase" localSheetId="0" hidden="1">'Matrix 1&amp;2'!$A$3:$BR$596</definedName>
    <definedName name="_xlnm.Print_Area" localSheetId="4">'Layout for shadhous 3'!$A$1:$Z$67</definedName>
    <definedName name="_xlnm.Print_Area" localSheetId="2">'Layout for trees left'!$A$1:$V$25</definedName>
    <definedName name="_xlnm.Print_Area" localSheetId="0">'Matrix 1&amp;2'!$A$1:$BE$607</definedName>
    <definedName name="_xlnm.Print_Titles" localSheetId="0">'Matrix 1&amp;2'!$1:$3</definedName>
  </definedNames>
  <calcPr calcId="124519"/>
</workbook>
</file>

<file path=xl/calcChain.xml><?xml version="1.0" encoding="utf-8"?>
<calcChain xmlns="http://schemas.openxmlformats.org/spreadsheetml/2006/main">
  <c r="AL78" i="8"/>
  <c r="AL53"/>
  <c r="AL165"/>
  <c r="AL331"/>
  <c r="AL219"/>
  <c r="AL221"/>
  <c r="AL157"/>
  <c r="AL101"/>
  <c r="AL23"/>
  <c r="AL42"/>
  <c r="AL28"/>
  <c r="AL130"/>
  <c r="AL348"/>
  <c r="AL43"/>
  <c r="AL233"/>
  <c r="AL80"/>
  <c r="AL81"/>
  <c r="AL136"/>
  <c r="AL314"/>
  <c r="AL403"/>
  <c r="AL446"/>
  <c r="AL559"/>
  <c r="AL12"/>
  <c r="AL15"/>
  <c r="AL16"/>
  <c r="AL18"/>
  <c r="AL20"/>
  <c r="AL29"/>
  <c r="AL31"/>
  <c r="AL36"/>
  <c r="AL37"/>
  <c r="AL45"/>
  <c r="AL46"/>
  <c r="AL47"/>
  <c r="AL49"/>
  <c r="AL52"/>
  <c r="AL57"/>
  <c r="AL59"/>
  <c r="AL60"/>
  <c r="AL62"/>
  <c r="AL64"/>
  <c r="AL70"/>
  <c r="AL71"/>
  <c r="AL72"/>
  <c r="AL89"/>
  <c r="AL90"/>
  <c r="AL92"/>
  <c r="AL95"/>
  <c r="AL96"/>
  <c r="AL102"/>
  <c r="AL103"/>
  <c r="AL107"/>
  <c r="AL111"/>
  <c r="AL118"/>
  <c r="AL119"/>
  <c r="AL121"/>
  <c r="AL128"/>
  <c r="AL129"/>
  <c r="AL138"/>
  <c r="AL140"/>
  <c r="AL144"/>
  <c r="AL149"/>
  <c r="AL152"/>
  <c r="AL153"/>
  <c r="AL155"/>
  <c r="AL156"/>
  <c r="AL161"/>
  <c r="AL167"/>
  <c r="AL168"/>
  <c r="AL169"/>
  <c r="AL171"/>
  <c r="AL172"/>
  <c r="AL174"/>
  <c r="AL179"/>
  <c r="AL180"/>
  <c r="AL181"/>
  <c r="AL182"/>
  <c r="AL183"/>
  <c r="AL185"/>
  <c r="AL186"/>
  <c r="AL187"/>
  <c r="AL188"/>
  <c r="AL189"/>
  <c r="AL190"/>
  <c r="AL191"/>
  <c r="AL192"/>
  <c r="AL193"/>
  <c r="AL194"/>
  <c r="AL199"/>
  <c r="AL201"/>
  <c r="AL202"/>
  <c r="AL204"/>
  <c r="AL205"/>
  <c r="AL206"/>
  <c r="AL207"/>
  <c r="AL208"/>
  <c r="AL209"/>
  <c r="AL212"/>
  <c r="AL213"/>
  <c r="AL215"/>
  <c r="AL216"/>
  <c r="AL217"/>
  <c r="AL218"/>
  <c r="AL220"/>
  <c r="AL223"/>
  <c r="AL224"/>
  <c r="AL225"/>
  <c r="AL226"/>
  <c r="AL227"/>
  <c r="AL228"/>
  <c r="AL230"/>
  <c r="AL235"/>
  <c r="AL242"/>
  <c r="AL243"/>
  <c r="AL244"/>
  <c r="AL245"/>
  <c r="AL246"/>
  <c r="AL247"/>
  <c r="AL248"/>
  <c r="AL249"/>
  <c r="AL250"/>
  <c r="AL251"/>
  <c r="AL252"/>
  <c r="AL253"/>
  <c r="AL255"/>
  <c r="AL256"/>
  <c r="AL260"/>
  <c r="AL261"/>
  <c r="AL262"/>
  <c r="AL264"/>
  <c r="AL265"/>
  <c r="AL266"/>
  <c r="AL268"/>
  <c r="AL269"/>
  <c r="AL271"/>
  <c r="AL272"/>
  <c r="AL273"/>
  <c r="AL274"/>
  <c r="AL275"/>
  <c r="AL276"/>
  <c r="AL278"/>
  <c r="AL279"/>
  <c r="AL280"/>
  <c r="AL282"/>
  <c r="AL283"/>
  <c r="AL284"/>
  <c r="AL285"/>
  <c r="AL286"/>
  <c r="AL287"/>
  <c r="AL288"/>
  <c r="AL290"/>
  <c r="AL291"/>
  <c r="AL292"/>
  <c r="AL293"/>
  <c r="AL294"/>
  <c r="AL295"/>
  <c r="AL296"/>
  <c r="AL297"/>
  <c r="AL298"/>
  <c r="AL299"/>
  <c r="AL300"/>
  <c r="AL301"/>
  <c r="AL302"/>
  <c r="AL303"/>
  <c r="AL304"/>
  <c r="AL306"/>
  <c r="AL307"/>
  <c r="AL308"/>
  <c r="AL309"/>
  <c r="AL310"/>
  <c r="AL311"/>
  <c r="AL312"/>
  <c r="AL313"/>
  <c r="AL316"/>
  <c r="AL317"/>
  <c r="AL318"/>
  <c r="AL319"/>
  <c r="AL320"/>
  <c r="AL321"/>
  <c r="AL322"/>
  <c r="AL323"/>
  <c r="AL324"/>
  <c r="AL326"/>
  <c r="AL327"/>
  <c r="AL330"/>
  <c r="AL332"/>
  <c r="AL333"/>
  <c r="AL334"/>
  <c r="AL335"/>
  <c r="AL336"/>
  <c r="AL337"/>
  <c r="AL338"/>
  <c r="AL339"/>
  <c r="AL340"/>
  <c r="AL342"/>
  <c r="AL343"/>
  <c r="AL344"/>
  <c r="AL345"/>
  <c r="AL346"/>
  <c r="AL347"/>
  <c r="AL349"/>
  <c r="AL350"/>
  <c r="AL351"/>
  <c r="AL352"/>
  <c r="AL353"/>
  <c r="AL354"/>
  <c r="AL355"/>
  <c r="AL358"/>
  <c r="AL359"/>
  <c r="AL360"/>
  <c r="AL362"/>
  <c r="AL363"/>
  <c r="AL366"/>
  <c r="AL373"/>
  <c r="AL374"/>
  <c r="AL375"/>
  <c r="AL376"/>
  <c r="AL377"/>
  <c r="AL378"/>
  <c r="AL379"/>
  <c r="AL380"/>
  <c r="AL381"/>
  <c r="AL382"/>
  <c r="AL383"/>
  <c r="AL384"/>
  <c r="AL385"/>
  <c r="AL386"/>
  <c r="AL388"/>
  <c r="AL389"/>
  <c r="AL390"/>
  <c r="AL391"/>
  <c r="AL392"/>
  <c r="AL393"/>
  <c r="AL394"/>
  <c r="AL395"/>
  <c r="AL396"/>
  <c r="AL397"/>
  <c r="AL398"/>
  <c r="AL399"/>
  <c r="AL400"/>
  <c r="AL401"/>
  <c r="AL402"/>
  <c r="AL404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2"/>
  <c r="AL434"/>
  <c r="AL435"/>
  <c r="AL436"/>
  <c r="AL437"/>
  <c r="AL438"/>
  <c r="AL439"/>
  <c r="AL441"/>
  <c r="AL442"/>
  <c r="AL443"/>
  <c r="AL444"/>
  <c r="AL447"/>
  <c r="AL448"/>
  <c r="AL449"/>
  <c r="AL450"/>
  <c r="AL451"/>
  <c r="AL452"/>
  <c r="AL453"/>
  <c r="AL454"/>
  <c r="AL455"/>
  <c r="AL457"/>
  <c r="AL458"/>
  <c r="AL459"/>
  <c r="AL460"/>
  <c r="AL461"/>
  <c r="AL462"/>
  <c r="AL463"/>
  <c r="AL464"/>
  <c r="AL465"/>
  <c r="AL466"/>
  <c r="AL467"/>
  <c r="AL468"/>
  <c r="AL469"/>
  <c r="AL471"/>
  <c r="AL472"/>
  <c r="AL473"/>
  <c r="AL474"/>
  <c r="AL475"/>
  <c r="AL476"/>
  <c r="AL477"/>
  <c r="AL478"/>
  <c r="AL480"/>
  <c r="AL481"/>
  <c r="AL482"/>
  <c r="AL483"/>
  <c r="AL484"/>
  <c r="AL485"/>
  <c r="AL486"/>
  <c r="AL487"/>
  <c r="AL488"/>
  <c r="AL489"/>
  <c r="AL491"/>
  <c r="AL492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2"/>
  <c r="AL533"/>
  <c r="AL535"/>
  <c r="AL536"/>
  <c r="AL537"/>
  <c r="AL538"/>
  <c r="AL539"/>
  <c r="AL541"/>
  <c r="AL542"/>
  <c r="AL543"/>
  <c r="AL544"/>
  <c r="AL545"/>
  <c r="AL546"/>
  <c r="AL547"/>
  <c r="AL548"/>
  <c r="AL549"/>
  <c r="AL550"/>
  <c r="AL551"/>
  <c r="AL552"/>
  <c r="AL554"/>
  <c r="AL556"/>
  <c r="AL558"/>
  <c r="AL560"/>
  <c r="AL561"/>
  <c r="AL562"/>
  <c r="AL563"/>
  <c r="AL564"/>
  <c r="AL566"/>
  <c r="AL567"/>
  <c r="AL568"/>
  <c r="AL570"/>
  <c r="AL573"/>
  <c r="AL574"/>
  <c r="AL575"/>
  <c r="AL576"/>
  <c r="AL577"/>
  <c r="AL578"/>
  <c r="AL579"/>
  <c r="AL580"/>
  <c r="AL581"/>
  <c r="AL582"/>
  <c r="AL583"/>
  <c r="AL584"/>
  <c r="AL585"/>
  <c r="AL587"/>
  <c r="AL588"/>
  <c r="AL589"/>
  <c r="AL590"/>
  <c r="AL592"/>
  <c r="AL593"/>
  <c r="AL594"/>
  <c r="AL595"/>
  <c r="AL596"/>
  <c r="AL210"/>
  <c r="AL117"/>
  <c r="AL127"/>
  <c r="AL236"/>
  <c r="AL357"/>
  <c r="AL364"/>
  <c r="AL365"/>
  <c r="AL367"/>
  <c r="AL586"/>
  <c r="AL139"/>
  <c r="AL257"/>
  <c r="AL368"/>
  <c r="AL372"/>
  <c r="AL591"/>
  <c r="AL106"/>
  <c r="AL211"/>
  <c r="AL325"/>
  <c r="AL369"/>
  <c r="AL234"/>
  <c r="AL238"/>
  <c r="AL356"/>
  <c r="AL440"/>
  <c r="AL259"/>
  <c r="AL569"/>
  <c r="AL277"/>
  <c r="AL572"/>
  <c r="AL120"/>
  <c r="AL113"/>
  <c r="AL239"/>
  <c r="AL240"/>
  <c r="AL341"/>
  <c r="AL571"/>
  <c r="AL203"/>
  <c r="AL55"/>
  <c r="AL231"/>
  <c r="AL196"/>
  <c r="AL328"/>
  <c r="AL98"/>
  <c r="AL241"/>
  <c r="AL445"/>
  <c r="AL555"/>
  <c r="AL237"/>
  <c r="AL66"/>
  <c r="AL178"/>
  <c r="AL44"/>
  <c r="AL177"/>
  <c r="AL315"/>
  <c r="AL21"/>
  <c r="AL229"/>
  <c r="AL254"/>
  <c r="AL232"/>
  <c r="AL197"/>
  <c r="AL198"/>
  <c r="AL175"/>
  <c r="AL258"/>
  <c r="AL540"/>
  <c r="AL405"/>
  <c r="AL431"/>
  <c r="AL173"/>
  <c r="AL553"/>
  <c r="AL184"/>
  <c r="AL147"/>
  <c r="AL370"/>
  <c r="AL105"/>
  <c r="AL141"/>
  <c r="AL305"/>
  <c r="AL433"/>
  <c r="AL371"/>
  <c r="AL65"/>
  <c r="AL93"/>
  <c r="AL329"/>
  <c r="AL69"/>
  <c r="AL38"/>
  <c r="AL77"/>
  <c r="AL94"/>
  <c r="AL289"/>
  <c r="AL73"/>
  <c r="AL163"/>
  <c r="AL13"/>
  <c r="AL150"/>
  <c r="AL50"/>
  <c r="AL565"/>
  <c r="AL534"/>
  <c r="AL557"/>
  <c r="AL176"/>
  <c r="AL39"/>
  <c r="AL108"/>
  <c r="AL104"/>
  <c r="AL143"/>
  <c r="AL270"/>
  <c r="AL22"/>
  <c r="AL166"/>
  <c r="AL41"/>
  <c r="AL30"/>
  <c r="AL470"/>
  <c r="AL456"/>
  <c r="AL490"/>
  <c r="AL68"/>
  <c r="AL479"/>
  <c r="AL48"/>
  <c r="AL531"/>
  <c r="AL33"/>
  <c r="AL88"/>
  <c r="AL222"/>
  <c r="AL493"/>
  <c r="AL159"/>
  <c r="AL75"/>
  <c r="AL74"/>
  <c r="AL35"/>
  <c r="AL99"/>
  <c r="AL154"/>
  <c r="AL56"/>
  <c r="AL100"/>
  <c r="AL125"/>
  <c r="AL151"/>
  <c r="AL84"/>
  <c r="AL361"/>
  <c r="AL145"/>
  <c r="AL132"/>
  <c r="AL387"/>
  <c r="AL110"/>
  <c r="AL51"/>
  <c r="AL133"/>
  <c r="AL85"/>
  <c r="AL115"/>
  <c r="AL160"/>
  <c r="AL116"/>
  <c r="AL148"/>
  <c r="AL137"/>
  <c r="AL76"/>
  <c r="AL63"/>
  <c r="AL112"/>
  <c r="AL267"/>
  <c r="AL134"/>
  <c r="AL19"/>
  <c r="AL24"/>
  <c r="AL25"/>
  <c r="AL17"/>
  <c r="AL67"/>
  <c r="AL5"/>
  <c r="AL86"/>
  <c r="AL281"/>
  <c r="AL79"/>
  <c r="AL200"/>
  <c r="AL164"/>
  <c r="AL142"/>
  <c r="AL195"/>
  <c r="AL87"/>
  <c r="AL7"/>
  <c r="AL263"/>
  <c r="AL40"/>
  <c r="AL122"/>
  <c r="AL131"/>
  <c r="AL114"/>
  <c r="AL58"/>
  <c r="AL135"/>
  <c r="AL26"/>
  <c r="AL97"/>
  <c r="AL83"/>
  <c r="AL146"/>
  <c r="AL91"/>
  <c r="AL158"/>
  <c r="AL82"/>
  <c r="AL124"/>
  <c r="AL10"/>
  <c r="AL8"/>
  <c r="AM126"/>
  <c r="AL126" s="1"/>
  <c r="T112"/>
  <c r="T148"/>
  <c r="Q73"/>
  <c r="Q154"/>
  <c r="T133"/>
  <c r="Q132"/>
  <c r="T126"/>
  <c r="T85"/>
  <c r="R11"/>
  <c r="T51"/>
  <c r="BI5"/>
  <c r="BI164"/>
  <c r="AM600" l="1"/>
  <c r="R58" i="6"/>
  <c r="I49"/>
  <c r="I44"/>
  <c r="E44"/>
  <c r="I37"/>
  <c r="N12" i="3"/>
  <c r="AV51" i="8" l="1"/>
  <c r="AO61" l="1"/>
  <c r="AL61" s="1"/>
  <c r="AO54"/>
  <c r="AL54" s="1"/>
  <c r="AO34"/>
  <c r="AL34" s="1"/>
  <c r="AO32"/>
  <c r="AL32" s="1"/>
  <c r="AO27"/>
  <c r="AL27" s="1"/>
  <c r="AO214"/>
  <c r="AL214" s="1"/>
  <c r="AO14"/>
  <c r="AL14" s="1"/>
  <c r="AO11"/>
  <c r="AL11" s="1"/>
  <c r="AO170"/>
  <c r="AL170" s="1"/>
  <c r="AO162"/>
  <c r="AL162" s="1"/>
  <c r="AO123"/>
  <c r="AL123" s="1"/>
  <c r="AO109"/>
  <c r="AL109" s="1"/>
  <c r="AO9"/>
  <c r="AL9" s="1"/>
  <c r="AO6"/>
  <c r="AL6" s="1"/>
  <c r="AO4"/>
  <c r="AL4" s="1"/>
  <c r="Y10"/>
  <c r="Y456"/>
  <c r="Y490"/>
  <c r="Y531"/>
  <c r="Y88"/>
  <c r="Y431"/>
  <c r="Y470"/>
  <c r="Y142"/>
  <c r="BA167"/>
  <c r="AT145"/>
  <c r="AT361"/>
  <c r="AT154"/>
  <c r="AT348"/>
  <c r="AT213"/>
  <c r="AT221"/>
  <c r="AT219"/>
  <c r="AT331"/>
  <c r="AT51"/>
  <c r="AT126"/>
  <c r="AU602"/>
  <c r="AU600"/>
  <c r="T78"/>
  <c r="Q24"/>
  <c r="T76"/>
  <c r="E38" i="3"/>
  <c r="I34"/>
  <c r="AV85" i="8"/>
  <c r="AU603" l="1"/>
  <c r="AU604" s="1"/>
  <c r="Q130"/>
  <c r="Q77"/>
  <c r="Q84"/>
  <c r="Q25"/>
  <c r="T61"/>
  <c r="W41"/>
  <c r="E43" i="6"/>
  <c r="M33"/>
  <c r="L38" i="3" l="1"/>
  <c r="L40"/>
  <c r="L36"/>
  <c r="L34"/>
  <c r="D40"/>
  <c r="C40"/>
  <c r="B40"/>
  <c r="D38"/>
  <c r="C38"/>
  <c r="B36"/>
  <c r="Q57" i="6"/>
  <c r="AZ130" i="8" s="1"/>
  <c r="Z7" i="6"/>
  <c r="E12"/>
  <c r="E10"/>
  <c r="Q7"/>
  <c r="E9"/>
  <c r="I33"/>
  <c r="E38"/>
  <c r="E40"/>
  <c r="Q135" i="8"/>
  <c r="Q56"/>
  <c r="Q63"/>
  <c r="Q125"/>
  <c r="T27"/>
  <c r="Q67"/>
  <c r="W115"/>
  <c r="T116"/>
  <c r="O29" i="3" l="1"/>
  <c r="AV11" i="8"/>
  <c r="BA41"/>
  <c r="BA168"/>
  <c r="BA169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1"/>
  <c r="BA202"/>
  <c r="BA203"/>
  <c r="BA204"/>
  <c r="BA205"/>
  <c r="BA206"/>
  <c r="BA207"/>
  <c r="BA208"/>
  <c r="BA209"/>
  <c r="BA210"/>
  <c r="BA211"/>
  <c r="BA212"/>
  <c r="BA215"/>
  <c r="BA216"/>
  <c r="BA217"/>
  <c r="BA218"/>
  <c r="BA220"/>
  <c r="BA222"/>
  <c r="BA223"/>
  <c r="BA224"/>
  <c r="BA225"/>
  <c r="BA226"/>
  <c r="BA227"/>
  <c r="BA228"/>
  <c r="BA229"/>
  <c r="BA230"/>
  <c r="BA231"/>
  <c r="BA232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1"/>
  <c r="BA322"/>
  <c r="BA323"/>
  <c r="BA324"/>
  <c r="BA325"/>
  <c r="BA326"/>
  <c r="BA327"/>
  <c r="BA328"/>
  <c r="BA329"/>
  <c r="BA330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9"/>
  <c r="BA350"/>
  <c r="BA351"/>
  <c r="BA352"/>
  <c r="BA353"/>
  <c r="BA354"/>
  <c r="BA355"/>
  <c r="BA356"/>
  <c r="BA357"/>
  <c r="BA358"/>
  <c r="BA359"/>
  <c r="BA360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7"/>
  <c r="BA458"/>
  <c r="BA459"/>
  <c r="BA460"/>
  <c r="BA461"/>
  <c r="BA462"/>
  <c r="BA463"/>
  <c r="BA464"/>
  <c r="BA465"/>
  <c r="BA466"/>
  <c r="BA467"/>
  <c r="BA468"/>
  <c r="BA469"/>
  <c r="BA471"/>
  <c r="BA472"/>
  <c r="BA473"/>
  <c r="BA474"/>
  <c r="BA475"/>
  <c r="BA476"/>
  <c r="BA477"/>
  <c r="BA478"/>
  <c r="BA480"/>
  <c r="BA481"/>
  <c r="BA482"/>
  <c r="BA483"/>
  <c r="BA484"/>
  <c r="BA485"/>
  <c r="BA486"/>
  <c r="BA487"/>
  <c r="BA488"/>
  <c r="BA489"/>
  <c r="BA491"/>
  <c r="BA492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361"/>
  <c r="BA348"/>
  <c r="BA331"/>
  <c r="BA221"/>
  <c r="BA219"/>
  <c r="BA213"/>
  <c r="AT600" l="1"/>
  <c r="AT602"/>
  <c r="AT603" l="1"/>
  <c r="AT604" s="1"/>
  <c r="Y126" l="1"/>
  <c r="AA126"/>
  <c r="AV126"/>
  <c r="AX126"/>
  <c r="BQ126" s="1"/>
  <c r="BG126"/>
  <c r="BH126"/>
  <c r="BI126"/>
  <c r="BJ126"/>
  <c r="Y78"/>
  <c r="AA78"/>
  <c r="BA78" s="1"/>
  <c r="AV78"/>
  <c r="BP78" s="1"/>
  <c r="AW78"/>
  <c r="BG78"/>
  <c r="BH78"/>
  <c r="AG11"/>
  <c r="BG11"/>
  <c r="BH11"/>
  <c r="BQ11"/>
  <c r="BR11"/>
  <c r="Y51"/>
  <c r="AA51"/>
  <c r="BP51"/>
  <c r="AW51"/>
  <c r="AX51"/>
  <c r="BQ51" s="1"/>
  <c r="BG51"/>
  <c r="BH51"/>
  <c r="Y133"/>
  <c r="AV133"/>
  <c r="BP133" s="1"/>
  <c r="BG133"/>
  <c r="BH133"/>
  <c r="BI133"/>
  <c r="BJ133"/>
  <c r="BQ133"/>
  <c r="Y14"/>
  <c r="BK14" s="1"/>
  <c r="AA14"/>
  <c r="AV14"/>
  <c r="BG14"/>
  <c r="BH14"/>
  <c r="BI14"/>
  <c r="BJ14"/>
  <c r="BQ14"/>
  <c r="BP85"/>
  <c r="BG85"/>
  <c r="BI85"/>
  <c r="BQ85"/>
  <c r="Y110"/>
  <c r="AY110" s="1"/>
  <c r="AA110"/>
  <c r="AG110"/>
  <c r="BG110"/>
  <c r="BH110"/>
  <c r="BI110"/>
  <c r="BJ110"/>
  <c r="BP110"/>
  <c r="BQ110"/>
  <c r="T34"/>
  <c r="Y34" s="1"/>
  <c r="AA34"/>
  <c r="AV34"/>
  <c r="AW34"/>
  <c r="BG34"/>
  <c r="BH34"/>
  <c r="BJ34"/>
  <c r="BR34"/>
  <c r="Y148"/>
  <c r="BK148" s="1"/>
  <c r="AA148"/>
  <c r="AV148"/>
  <c r="BG148"/>
  <c r="BH148"/>
  <c r="BI148"/>
  <c r="BJ148"/>
  <c r="BQ148"/>
  <c r="Y137"/>
  <c r="BK137" s="1"/>
  <c r="AA137"/>
  <c r="BG137"/>
  <c r="BH137"/>
  <c r="BI137"/>
  <c r="BJ137"/>
  <c r="BP137"/>
  <c r="Y63"/>
  <c r="AY63" s="1"/>
  <c r="BA63"/>
  <c r="BG63"/>
  <c r="BH63"/>
  <c r="BI63"/>
  <c r="BJ63"/>
  <c r="BP63"/>
  <c r="BQ63"/>
  <c r="Y143"/>
  <c r="BK143" s="1"/>
  <c r="BA143"/>
  <c r="BG143"/>
  <c r="BH143"/>
  <c r="BI143"/>
  <c r="BJ143"/>
  <c r="BP143"/>
  <c r="BQ143"/>
  <c r="BR143"/>
  <c r="Y53"/>
  <c r="AY53" s="1"/>
  <c r="AG53"/>
  <c r="BG53"/>
  <c r="BH53"/>
  <c r="BI53"/>
  <c r="BJ53"/>
  <c r="BP53"/>
  <c r="BQ53"/>
  <c r="BK142"/>
  <c r="BA142"/>
  <c r="BG142"/>
  <c r="BH142"/>
  <c r="BI142"/>
  <c r="BJ142"/>
  <c r="BP142"/>
  <c r="BQ142"/>
  <c r="Y76"/>
  <c r="AY76" s="1"/>
  <c r="BA76"/>
  <c r="BG76"/>
  <c r="BH76"/>
  <c r="BI76"/>
  <c r="BJ76"/>
  <c r="BP76"/>
  <c r="BQ76"/>
  <c r="AA61"/>
  <c r="AV61"/>
  <c r="AW61"/>
  <c r="BG61"/>
  <c r="BH61"/>
  <c r="BI61"/>
  <c r="BQ61"/>
  <c r="Y24"/>
  <c r="AY24" s="1"/>
  <c r="BA24"/>
  <c r="BH24"/>
  <c r="BI24"/>
  <c r="BJ24"/>
  <c r="BP24"/>
  <c r="BQ24"/>
  <c r="AA115"/>
  <c r="BA115" s="1"/>
  <c r="AV115"/>
  <c r="AW115"/>
  <c r="BG115"/>
  <c r="BH115"/>
  <c r="BI115"/>
  <c r="BJ115"/>
  <c r="BQ115"/>
  <c r="W165"/>
  <c r="AG165"/>
  <c r="BG165"/>
  <c r="BH165"/>
  <c r="BI165"/>
  <c r="BP165"/>
  <c r="BQ165"/>
  <c r="Y170"/>
  <c r="AY170" s="1"/>
  <c r="BA170"/>
  <c r="BG170"/>
  <c r="BH170"/>
  <c r="BP170"/>
  <c r="BQ170"/>
  <c r="Y54"/>
  <c r="AY54" s="1"/>
  <c r="BA54"/>
  <c r="BG54"/>
  <c r="BH54"/>
  <c r="BI54"/>
  <c r="BJ54"/>
  <c r="BP54"/>
  <c r="BQ54"/>
  <c r="Y331"/>
  <c r="AY331" s="1"/>
  <c r="BG331"/>
  <c r="BH331"/>
  <c r="BP331"/>
  <c r="BQ331"/>
  <c r="BI27"/>
  <c r="AA27"/>
  <c r="BG27"/>
  <c r="BH27"/>
  <c r="BJ27"/>
  <c r="BP27"/>
  <c r="BQ27"/>
  <c r="R32"/>
  <c r="AV32"/>
  <c r="BP32" s="1"/>
  <c r="BG32"/>
  <c r="BI32"/>
  <c r="BQ32"/>
  <c r="Y160"/>
  <c r="AA160"/>
  <c r="AV160"/>
  <c r="AW160"/>
  <c r="BG160"/>
  <c r="BH160"/>
  <c r="BI160"/>
  <c r="BJ160"/>
  <c r="BQ160"/>
  <c r="Y19"/>
  <c r="BK19" s="1"/>
  <c r="BA19"/>
  <c r="BG19"/>
  <c r="BH19"/>
  <c r="BI19"/>
  <c r="BJ19"/>
  <c r="BP19"/>
  <c r="BQ19"/>
  <c r="Y154"/>
  <c r="BA154"/>
  <c r="BG154"/>
  <c r="BH154"/>
  <c r="BI154"/>
  <c r="BJ154"/>
  <c r="BP154"/>
  <c r="BQ154"/>
  <c r="Y68"/>
  <c r="AY68" s="1"/>
  <c r="AG68"/>
  <c r="BG68"/>
  <c r="BH68"/>
  <c r="BI68"/>
  <c r="BJ68"/>
  <c r="BP68"/>
  <c r="BQ68"/>
  <c r="Y320"/>
  <c r="AY320" s="1"/>
  <c r="BA320"/>
  <c r="BG320"/>
  <c r="BH320"/>
  <c r="BP320"/>
  <c r="BQ320"/>
  <c r="Y157"/>
  <c r="AY157" s="1"/>
  <c r="AG157"/>
  <c r="BG157"/>
  <c r="BH157"/>
  <c r="BI157"/>
  <c r="BJ157"/>
  <c r="BP157"/>
  <c r="BQ157"/>
  <c r="Y17"/>
  <c r="BA17"/>
  <c r="BG17"/>
  <c r="BH17"/>
  <c r="BI17"/>
  <c r="BJ17"/>
  <c r="BP17"/>
  <c r="BQ17"/>
  <c r="Y214"/>
  <c r="AY214" s="1"/>
  <c r="BG214"/>
  <c r="BH214"/>
  <c r="BP214"/>
  <c r="BQ214"/>
  <c r="Y72"/>
  <c r="AY72" s="1"/>
  <c r="BA72"/>
  <c r="BG72"/>
  <c r="BH72"/>
  <c r="BI72"/>
  <c r="BJ72"/>
  <c r="BP72"/>
  <c r="BQ72"/>
  <c r="Y155"/>
  <c r="BK155" s="1"/>
  <c r="BA155"/>
  <c r="BG155"/>
  <c r="BH155"/>
  <c r="BI155"/>
  <c r="BJ155"/>
  <c r="BP155"/>
  <c r="BQ155"/>
  <c r="Y86"/>
  <c r="AY86" s="1"/>
  <c r="BA86"/>
  <c r="BG86"/>
  <c r="BH86"/>
  <c r="BI86"/>
  <c r="BJ86"/>
  <c r="BP86"/>
  <c r="BQ86"/>
  <c r="Y101"/>
  <c r="AY101" s="1"/>
  <c r="AG101"/>
  <c r="BG101"/>
  <c r="BH101"/>
  <c r="BI101"/>
  <c r="BJ101"/>
  <c r="BP101"/>
  <c r="BQ101"/>
  <c r="Y281"/>
  <c r="BK281" s="1"/>
  <c r="BG281"/>
  <c r="BH281"/>
  <c r="BP281"/>
  <c r="BQ281"/>
  <c r="Y219"/>
  <c r="BK219" s="1"/>
  <c r="BG219"/>
  <c r="BH219"/>
  <c r="BP219"/>
  <c r="BQ219"/>
  <c r="Y79"/>
  <c r="AY79" s="1"/>
  <c r="BA79"/>
  <c r="BG79"/>
  <c r="BH79"/>
  <c r="BI79"/>
  <c r="BJ79"/>
  <c r="BP79"/>
  <c r="BQ79"/>
  <c r="Y23"/>
  <c r="AY23" s="1"/>
  <c r="AG23"/>
  <c r="BG23"/>
  <c r="BH23"/>
  <c r="BI23"/>
  <c r="BJ23"/>
  <c r="BP23"/>
  <c r="BQ23"/>
  <c r="Y42"/>
  <c r="AY42" s="1"/>
  <c r="AG42"/>
  <c r="BG42"/>
  <c r="BH42"/>
  <c r="BI42"/>
  <c r="BJ42"/>
  <c r="BP42"/>
  <c r="BQ42"/>
  <c r="Y28"/>
  <c r="AG28"/>
  <c r="BG28"/>
  <c r="BH28"/>
  <c r="BI28"/>
  <c r="BJ28"/>
  <c r="BP28"/>
  <c r="BQ28"/>
  <c r="Y221"/>
  <c r="BK221" s="1"/>
  <c r="BG221"/>
  <c r="BH221"/>
  <c r="BP221"/>
  <c r="BQ221"/>
  <c r="Y43"/>
  <c r="BK43" s="1"/>
  <c r="AG43"/>
  <c r="BG43"/>
  <c r="BH43"/>
  <c r="BI43"/>
  <c r="BJ43"/>
  <c r="BP43"/>
  <c r="BQ43"/>
  <c r="AY470"/>
  <c r="AG470"/>
  <c r="BA470" s="1"/>
  <c r="BG470"/>
  <c r="BH470"/>
  <c r="BP470"/>
  <c r="BQ470"/>
  <c r="Y162"/>
  <c r="BK162" s="1"/>
  <c r="AV162"/>
  <c r="AZ162"/>
  <c r="BG162"/>
  <c r="BH162"/>
  <c r="BI162"/>
  <c r="BJ162"/>
  <c r="BQ162"/>
  <c r="Y122"/>
  <c r="BK122" s="1"/>
  <c r="BA122"/>
  <c r="BG122"/>
  <c r="BH122"/>
  <c r="BI122"/>
  <c r="BJ122"/>
  <c r="BP122"/>
  <c r="BQ122"/>
  <c r="Y40"/>
  <c r="AY40" s="1"/>
  <c r="BA40"/>
  <c r="BG40"/>
  <c r="BH40"/>
  <c r="BI40"/>
  <c r="BJ40"/>
  <c r="BP40"/>
  <c r="BQ40"/>
  <c r="Y568"/>
  <c r="AY568" s="1"/>
  <c r="BG568"/>
  <c r="BH568"/>
  <c r="BP568"/>
  <c r="BQ568"/>
  <c r="Y58"/>
  <c r="BK58" s="1"/>
  <c r="BA58"/>
  <c r="BG58"/>
  <c r="BH58"/>
  <c r="BI58"/>
  <c r="BJ58"/>
  <c r="BP58"/>
  <c r="Y479"/>
  <c r="BK479" s="1"/>
  <c r="AG479"/>
  <c r="BA479" s="1"/>
  <c r="BG479"/>
  <c r="BH479"/>
  <c r="BP479"/>
  <c r="BQ479"/>
  <c r="Y163"/>
  <c r="AY163" s="1"/>
  <c r="BA163"/>
  <c r="BG163"/>
  <c r="BH163"/>
  <c r="BI163"/>
  <c r="BJ163"/>
  <c r="BP163"/>
  <c r="BQ163"/>
  <c r="AY456"/>
  <c r="AG456"/>
  <c r="BG456"/>
  <c r="BH456"/>
  <c r="BP456"/>
  <c r="BQ456"/>
  <c r="BK490"/>
  <c r="AG490"/>
  <c r="BG490"/>
  <c r="BH490"/>
  <c r="BP490"/>
  <c r="BQ490"/>
  <c r="AY531"/>
  <c r="AG531"/>
  <c r="BG531"/>
  <c r="BH531"/>
  <c r="BP531"/>
  <c r="BQ531"/>
  <c r="Y493"/>
  <c r="BK493" s="1"/>
  <c r="AG493"/>
  <c r="BA493" s="1"/>
  <c r="BG493"/>
  <c r="BH493"/>
  <c r="BP493"/>
  <c r="BQ493"/>
  <c r="AY10"/>
  <c r="BA10"/>
  <c r="BG10"/>
  <c r="BH10"/>
  <c r="BI10"/>
  <c r="BJ10"/>
  <c r="BP10"/>
  <c r="BQ10"/>
  <c r="Y233"/>
  <c r="AY233" s="1"/>
  <c r="AG233"/>
  <c r="BA233" s="1"/>
  <c r="AZ233"/>
  <c r="BG233"/>
  <c r="BH233"/>
  <c r="BP233"/>
  <c r="BQ233"/>
  <c r="Q30"/>
  <c r="Y30" s="1"/>
  <c r="BH30"/>
  <c r="BI30"/>
  <c r="BJ30"/>
  <c r="BP30"/>
  <c r="Y41"/>
  <c r="AY41" s="1"/>
  <c r="BD41"/>
  <c r="BG41"/>
  <c r="BH41"/>
  <c r="BI41"/>
  <c r="BJ41"/>
  <c r="BP41"/>
  <c r="BQ41"/>
  <c r="Y22"/>
  <c r="BK22" s="1"/>
  <c r="BG22"/>
  <c r="BH22"/>
  <c r="BI22"/>
  <c r="BJ22"/>
  <c r="BP22"/>
  <c r="BQ22"/>
  <c r="Y270"/>
  <c r="BK270" s="1"/>
  <c r="BD270"/>
  <c r="BG270"/>
  <c r="BH270"/>
  <c r="BP270"/>
  <c r="BQ270"/>
  <c r="BR270"/>
  <c r="Y267"/>
  <c r="BK267" s="1"/>
  <c r="AV267"/>
  <c r="BP267" s="1"/>
  <c r="BG267"/>
  <c r="BH267"/>
  <c r="BQ267"/>
  <c r="BR267"/>
  <c r="Y104"/>
  <c r="AY104" s="1"/>
  <c r="BG104"/>
  <c r="BH104"/>
  <c r="BI104"/>
  <c r="BJ104"/>
  <c r="BP104"/>
  <c r="BQ104"/>
  <c r="Y108"/>
  <c r="AY108" s="1"/>
  <c r="BG108"/>
  <c r="BH108"/>
  <c r="BI108"/>
  <c r="BJ108"/>
  <c r="BP108"/>
  <c r="BQ108"/>
  <c r="BR108"/>
  <c r="Y39"/>
  <c r="AY39" s="1"/>
  <c r="BG39"/>
  <c r="BH39"/>
  <c r="BI39"/>
  <c r="BJ39"/>
  <c r="BP39"/>
  <c r="BQ39"/>
  <c r="BR39"/>
  <c r="Y176"/>
  <c r="AY176" s="1"/>
  <c r="BD176"/>
  <c r="BG176"/>
  <c r="BH176"/>
  <c r="BP176"/>
  <c r="BQ176"/>
  <c r="Y50"/>
  <c r="BK50" s="1"/>
  <c r="BG50"/>
  <c r="BH50"/>
  <c r="BI50"/>
  <c r="BJ50"/>
  <c r="BP50"/>
  <c r="Y557"/>
  <c r="AY557" s="1"/>
  <c r="BD557"/>
  <c r="BG557"/>
  <c r="BH557"/>
  <c r="BP557"/>
  <c r="BQ557"/>
  <c r="Y77"/>
  <c r="BK77" s="1"/>
  <c r="BG77"/>
  <c r="BH77"/>
  <c r="BI77"/>
  <c r="BJ77"/>
  <c r="BP77"/>
  <c r="BQ77"/>
  <c r="Y534"/>
  <c r="BK534" s="1"/>
  <c r="BD534"/>
  <c r="BG534"/>
  <c r="BH534"/>
  <c r="BP534"/>
  <c r="BQ534"/>
  <c r="Y565"/>
  <c r="AY565" s="1"/>
  <c r="BD565"/>
  <c r="BG565"/>
  <c r="BH565"/>
  <c r="BP565"/>
  <c r="BQ565"/>
  <c r="Y150"/>
  <c r="AY150" s="1"/>
  <c r="BG150"/>
  <c r="BH150"/>
  <c r="BI150"/>
  <c r="BJ150"/>
  <c r="BP150"/>
  <c r="BQ150"/>
  <c r="Y73"/>
  <c r="BG73"/>
  <c r="BH73"/>
  <c r="BI73"/>
  <c r="BJ73"/>
  <c r="BP73"/>
  <c r="BQ73"/>
  <c r="Y13"/>
  <c r="BK13" s="1"/>
  <c r="BG13"/>
  <c r="BH13"/>
  <c r="BI13"/>
  <c r="BJ13"/>
  <c r="BP13"/>
  <c r="BQ13"/>
  <c r="Y94"/>
  <c r="AY94" s="1"/>
  <c r="BG94"/>
  <c r="BH94"/>
  <c r="BI94"/>
  <c r="BJ94"/>
  <c r="BP94"/>
  <c r="BQ94"/>
  <c r="Y38"/>
  <c r="AY38" s="1"/>
  <c r="AZ38"/>
  <c r="BG38"/>
  <c r="BH38"/>
  <c r="BI38"/>
  <c r="BJ38"/>
  <c r="BP38"/>
  <c r="BQ38"/>
  <c r="Y69"/>
  <c r="AY69" s="1"/>
  <c r="AZ69"/>
  <c r="BG69"/>
  <c r="BH69"/>
  <c r="BI69"/>
  <c r="BJ69"/>
  <c r="BP69"/>
  <c r="BQ69"/>
  <c r="Y329"/>
  <c r="AY329" s="1"/>
  <c r="BD329"/>
  <c r="BG329"/>
  <c r="BH329"/>
  <c r="BP329"/>
  <c r="BQ329"/>
  <c r="Y65"/>
  <c r="BK65" s="1"/>
  <c r="AZ65"/>
  <c r="BG65"/>
  <c r="BH65"/>
  <c r="BI65"/>
  <c r="BJ65"/>
  <c r="BP65"/>
  <c r="BQ65"/>
  <c r="Y93"/>
  <c r="AY93" s="1"/>
  <c r="BG93"/>
  <c r="BH93"/>
  <c r="BI93"/>
  <c r="BJ93"/>
  <c r="BP93"/>
  <c r="BQ93"/>
  <c r="Y371"/>
  <c r="BK371" s="1"/>
  <c r="BD371"/>
  <c r="BG371"/>
  <c r="BH371"/>
  <c r="BP371"/>
  <c r="BQ371"/>
  <c r="Y305"/>
  <c r="AY305" s="1"/>
  <c r="BD305"/>
  <c r="BG305"/>
  <c r="BH305"/>
  <c r="BP305"/>
  <c r="BQ305"/>
  <c r="BR305"/>
  <c r="Y433"/>
  <c r="AY433" s="1"/>
  <c r="BD433"/>
  <c r="BG433"/>
  <c r="BH433"/>
  <c r="BP433"/>
  <c r="BQ433"/>
  <c r="Y141"/>
  <c r="AY141" s="1"/>
  <c r="BG141"/>
  <c r="BH141"/>
  <c r="BI141"/>
  <c r="BJ141"/>
  <c r="BP141"/>
  <c r="BQ141"/>
  <c r="Y105"/>
  <c r="AY105" s="1"/>
  <c r="BG105"/>
  <c r="BH105"/>
  <c r="BI105"/>
  <c r="BJ105"/>
  <c r="BP105"/>
  <c r="BQ105"/>
  <c r="Y370"/>
  <c r="BD370"/>
  <c r="BG370"/>
  <c r="BH370"/>
  <c r="BP370"/>
  <c r="BQ370"/>
  <c r="Y147"/>
  <c r="AY147" s="1"/>
  <c r="AZ147"/>
  <c r="BG147"/>
  <c r="BH147"/>
  <c r="BI147"/>
  <c r="BJ147"/>
  <c r="BP147"/>
  <c r="BQ147"/>
  <c r="Y289"/>
  <c r="BK289" s="1"/>
  <c r="BD289"/>
  <c r="BG289"/>
  <c r="BH289"/>
  <c r="BP289"/>
  <c r="BQ289"/>
  <c r="Y184"/>
  <c r="AY184" s="1"/>
  <c r="BD184"/>
  <c r="BG184"/>
  <c r="BH184"/>
  <c r="BP184"/>
  <c r="BQ184"/>
  <c r="Y405"/>
  <c r="AY405" s="1"/>
  <c r="BD405"/>
  <c r="BG405"/>
  <c r="BH405"/>
  <c r="BP405"/>
  <c r="BQ405"/>
  <c r="Y553"/>
  <c r="BK553" s="1"/>
  <c r="BD553"/>
  <c r="BG553"/>
  <c r="BH553"/>
  <c r="BP553"/>
  <c r="BQ553"/>
  <c r="Y173"/>
  <c r="BK173" s="1"/>
  <c r="BD173"/>
  <c r="BG173"/>
  <c r="BH173"/>
  <c r="BP173"/>
  <c r="BQ173"/>
  <c r="BK431"/>
  <c r="BD431"/>
  <c r="BG431"/>
  <c r="BH431"/>
  <c r="BP431"/>
  <c r="BQ431"/>
  <c r="Y540"/>
  <c r="AY540" s="1"/>
  <c r="BD540"/>
  <c r="BG540"/>
  <c r="BH540"/>
  <c r="BP540"/>
  <c r="BQ540"/>
  <c r="Y175"/>
  <c r="BK175" s="1"/>
  <c r="BD175"/>
  <c r="BG175"/>
  <c r="BH175"/>
  <c r="BP175"/>
  <c r="BQ175"/>
  <c r="Y258"/>
  <c r="AY258" s="1"/>
  <c r="BD258"/>
  <c r="BG258"/>
  <c r="BH258"/>
  <c r="BP258"/>
  <c r="BQ258"/>
  <c r="Y197"/>
  <c r="BK197" s="1"/>
  <c r="BD197"/>
  <c r="BG197"/>
  <c r="BH197"/>
  <c r="BP197"/>
  <c r="BQ197"/>
  <c r="Y198"/>
  <c r="AY198" s="1"/>
  <c r="BD198"/>
  <c r="BG198"/>
  <c r="BH198"/>
  <c r="BP198"/>
  <c r="BQ198"/>
  <c r="Y232"/>
  <c r="AY232" s="1"/>
  <c r="AZ232"/>
  <c r="BD232"/>
  <c r="BG232"/>
  <c r="BH232"/>
  <c r="BP232"/>
  <c r="BQ232"/>
  <c r="Y21"/>
  <c r="AY21" s="1"/>
  <c r="BG21"/>
  <c r="BH21"/>
  <c r="BI21"/>
  <c r="BJ21"/>
  <c r="BP21"/>
  <c r="BQ21"/>
  <c r="Y254"/>
  <c r="AY254" s="1"/>
  <c r="AZ254"/>
  <c r="BD254"/>
  <c r="BG254"/>
  <c r="BH254"/>
  <c r="BP254"/>
  <c r="BQ254"/>
  <c r="Y177"/>
  <c r="AY177" s="1"/>
  <c r="BD177"/>
  <c r="BG177"/>
  <c r="BH177"/>
  <c r="BP177"/>
  <c r="BQ177"/>
  <c r="Y315"/>
  <c r="AY315" s="1"/>
  <c r="BD315"/>
  <c r="BG315"/>
  <c r="BH315"/>
  <c r="BP315"/>
  <c r="BQ315"/>
  <c r="Y44"/>
  <c r="BK44" s="1"/>
  <c r="AZ44"/>
  <c r="BG44"/>
  <c r="BH44"/>
  <c r="BI44"/>
  <c r="BJ44"/>
  <c r="BP44"/>
  <c r="BQ44"/>
  <c r="Y178"/>
  <c r="BK178" s="1"/>
  <c r="BD178"/>
  <c r="BG178"/>
  <c r="BH178"/>
  <c r="BP178"/>
  <c r="BQ178"/>
  <c r="Y66"/>
  <c r="AY66" s="1"/>
  <c r="BG66"/>
  <c r="BH66"/>
  <c r="BI66"/>
  <c r="BJ66"/>
  <c r="BP66"/>
  <c r="BQ66"/>
  <c r="Y237"/>
  <c r="AZ237"/>
  <c r="BD237"/>
  <c r="BG237"/>
  <c r="BH237"/>
  <c r="BP237"/>
  <c r="BQ237"/>
  <c r="Y241"/>
  <c r="AY241" s="1"/>
  <c r="AZ241"/>
  <c r="BD241"/>
  <c r="BG241"/>
  <c r="BH241"/>
  <c r="BP241"/>
  <c r="BQ241"/>
  <c r="Y98"/>
  <c r="AZ98"/>
  <c r="BG98"/>
  <c r="BH98"/>
  <c r="BI98"/>
  <c r="BJ98"/>
  <c r="BP98"/>
  <c r="BQ98"/>
  <c r="Y445"/>
  <c r="BK445" s="1"/>
  <c r="BD445"/>
  <c r="BG445"/>
  <c r="BH445"/>
  <c r="BP445"/>
  <c r="BQ445"/>
  <c r="Y555"/>
  <c r="AY555" s="1"/>
  <c r="BD555"/>
  <c r="BG555"/>
  <c r="BH555"/>
  <c r="BP555"/>
  <c r="BQ555"/>
  <c r="Y196"/>
  <c r="AY196" s="1"/>
  <c r="BD196"/>
  <c r="BG196"/>
  <c r="BH196"/>
  <c r="BP196"/>
  <c r="BQ196"/>
  <c r="Y328"/>
  <c r="AY328" s="1"/>
  <c r="BD328"/>
  <c r="BG328"/>
  <c r="BH328"/>
  <c r="BP328"/>
  <c r="BQ328"/>
  <c r="Y231"/>
  <c r="BK231" s="1"/>
  <c r="AZ231"/>
  <c r="BD231"/>
  <c r="BG231"/>
  <c r="BH231"/>
  <c r="BP231"/>
  <c r="BQ231"/>
  <c r="Y55"/>
  <c r="AY55" s="1"/>
  <c r="AZ55"/>
  <c r="BG55"/>
  <c r="BH55"/>
  <c r="BI55"/>
  <c r="BJ55"/>
  <c r="BP55"/>
  <c r="BQ55"/>
  <c r="Y117"/>
  <c r="AY117" s="1"/>
  <c r="BG117"/>
  <c r="BH117"/>
  <c r="BI117"/>
  <c r="BJ117"/>
  <c r="BP117"/>
  <c r="BQ117"/>
  <c r="BR117"/>
  <c r="Y203"/>
  <c r="AY203" s="1"/>
  <c r="BD203"/>
  <c r="BG203"/>
  <c r="BH203"/>
  <c r="BP203"/>
  <c r="BQ203"/>
  <c r="Y239"/>
  <c r="AY239" s="1"/>
  <c r="AZ239"/>
  <c r="BD239"/>
  <c r="BG239"/>
  <c r="BH239"/>
  <c r="BP239"/>
  <c r="BQ239"/>
  <c r="Y240"/>
  <c r="AY240" s="1"/>
  <c r="AZ240"/>
  <c r="BD240"/>
  <c r="BG240"/>
  <c r="BH240"/>
  <c r="BP240"/>
  <c r="BQ240"/>
  <c r="Y314"/>
  <c r="AY314" s="1"/>
  <c r="BD314"/>
  <c r="BG314"/>
  <c r="BH314"/>
  <c r="BP314"/>
  <c r="BQ314"/>
  <c r="Y341"/>
  <c r="AY341" s="1"/>
  <c r="BD341"/>
  <c r="BG341"/>
  <c r="BH341"/>
  <c r="BP341"/>
  <c r="BQ341"/>
  <c r="Y113"/>
  <c r="AY113" s="1"/>
  <c r="AZ113"/>
  <c r="BG113"/>
  <c r="BH113"/>
  <c r="BI113"/>
  <c r="BJ113"/>
  <c r="BP113"/>
  <c r="BQ113"/>
  <c r="Y571"/>
  <c r="BK571" s="1"/>
  <c r="AZ571"/>
  <c r="BD571"/>
  <c r="BG571"/>
  <c r="BH571"/>
  <c r="BP571"/>
  <c r="BQ571"/>
  <c r="Y120"/>
  <c r="AY120" s="1"/>
  <c r="AZ120"/>
  <c r="BG120"/>
  <c r="BH120"/>
  <c r="BI120"/>
  <c r="BJ120"/>
  <c r="BP120"/>
  <c r="BQ120"/>
  <c r="Y277"/>
  <c r="BD277"/>
  <c r="BG277"/>
  <c r="BH277"/>
  <c r="BP277"/>
  <c r="BQ277"/>
  <c r="Y572"/>
  <c r="AY572" s="1"/>
  <c r="BD572"/>
  <c r="BG572"/>
  <c r="BH572"/>
  <c r="BP572"/>
  <c r="BQ572"/>
  <c r="Y259"/>
  <c r="BD259"/>
  <c r="BG259"/>
  <c r="BH259"/>
  <c r="BP259"/>
  <c r="BQ259"/>
  <c r="Y569"/>
  <c r="AY569" s="1"/>
  <c r="BD569"/>
  <c r="BG569"/>
  <c r="BH569"/>
  <c r="BP569"/>
  <c r="BQ569"/>
  <c r="Y234"/>
  <c r="AZ234"/>
  <c r="BD234"/>
  <c r="BG234"/>
  <c r="BH234"/>
  <c r="BP234"/>
  <c r="BQ234"/>
  <c r="Y238"/>
  <c r="AY238" s="1"/>
  <c r="AZ238"/>
  <c r="BD238"/>
  <c r="BG238"/>
  <c r="BH238"/>
  <c r="BP238"/>
  <c r="BQ238"/>
  <c r="Y356"/>
  <c r="BD356"/>
  <c r="BG356"/>
  <c r="BH356"/>
  <c r="BP356"/>
  <c r="BQ356"/>
  <c r="Y440"/>
  <c r="AY440" s="1"/>
  <c r="AZ440"/>
  <c r="BD440"/>
  <c r="BG440"/>
  <c r="BH440"/>
  <c r="BP440"/>
  <c r="BQ440"/>
  <c r="Y211"/>
  <c r="BD211"/>
  <c r="BG211"/>
  <c r="BH211"/>
  <c r="BP211"/>
  <c r="BQ211"/>
  <c r="Y325"/>
  <c r="AY325" s="1"/>
  <c r="AZ325"/>
  <c r="BD325"/>
  <c r="BG325"/>
  <c r="BH325"/>
  <c r="BP325"/>
  <c r="BQ325"/>
  <c r="Y369"/>
  <c r="BD369"/>
  <c r="BG369"/>
  <c r="BH369"/>
  <c r="BP369"/>
  <c r="BQ369"/>
  <c r="Y106"/>
  <c r="AY106" s="1"/>
  <c r="BG106"/>
  <c r="BH106"/>
  <c r="BI106"/>
  <c r="BJ106"/>
  <c r="BP106"/>
  <c r="BQ106"/>
  <c r="Y257"/>
  <c r="BK257" s="1"/>
  <c r="AZ257"/>
  <c r="BD257"/>
  <c r="BG257"/>
  <c r="BH257"/>
  <c r="BP257"/>
  <c r="BQ257"/>
  <c r="Y368"/>
  <c r="AY368" s="1"/>
  <c r="BD368"/>
  <c r="BG368"/>
  <c r="BH368"/>
  <c r="BP368"/>
  <c r="BQ368"/>
  <c r="Y372"/>
  <c r="BK372" s="1"/>
  <c r="AZ372"/>
  <c r="BD372"/>
  <c r="BG372"/>
  <c r="BH372"/>
  <c r="BP372"/>
  <c r="BQ372"/>
  <c r="Y139"/>
  <c r="AY139" s="1"/>
  <c r="AZ139"/>
  <c r="BG139"/>
  <c r="BH139"/>
  <c r="BI139"/>
  <c r="BJ139"/>
  <c r="BP139"/>
  <c r="BQ139"/>
  <c r="Y586"/>
  <c r="AY586" s="1"/>
  <c r="BD586"/>
  <c r="BG586"/>
  <c r="BH586"/>
  <c r="BP586"/>
  <c r="BQ586"/>
  <c r="Y236"/>
  <c r="AY236" s="1"/>
  <c r="AZ236"/>
  <c r="BD236"/>
  <c r="BG236"/>
  <c r="BH236"/>
  <c r="BP236"/>
  <c r="BQ236"/>
  <c r="Y357"/>
  <c r="AY357" s="1"/>
  <c r="BD357"/>
  <c r="BG357"/>
  <c r="BH357"/>
  <c r="BP357"/>
  <c r="BQ357"/>
  <c r="Y364"/>
  <c r="AY364" s="1"/>
  <c r="BD364"/>
  <c r="BG364"/>
  <c r="BH364"/>
  <c r="BP364"/>
  <c r="BQ364"/>
  <c r="Y365"/>
  <c r="AY365" s="1"/>
  <c r="BD365"/>
  <c r="BG365"/>
  <c r="BH365"/>
  <c r="BP365"/>
  <c r="BQ365"/>
  <c r="Y367"/>
  <c r="AY367" s="1"/>
  <c r="BD367"/>
  <c r="BG367"/>
  <c r="BH367"/>
  <c r="BP367"/>
  <c r="BQ367"/>
  <c r="Y127"/>
  <c r="BK127" s="1"/>
  <c r="AZ127"/>
  <c r="BG127"/>
  <c r="BH127"/>
  <c r="BI127"/>
  <c r="BJ127"/>
  <c r="BP127"/>
  <c r="BQ127"/>
  <c r="Y210"/>
  <c r="BK210" s="1"/>
  <c r="BD210"/>
  <c r="BG210"/>
  <c r="BH210"/>
  <c r="BP210"/>
  <c r="BQ210"/>
  <c r="Y446"/>
  <c r="AY446" s="1"/>
  <c r="BD446"/>
  <c r="BG446"/>
  <c r="BH446"/>
  <c r="BP446"/>
  <c r="BQ446"/>
  <c r="Y80"/>
  <c r="AY80" s="1"/>
  <c r="BG80"/>
  <c r="BH80"/>
  <c r="BI80"/>
  <c r="BJ80"/>
  <c r="BP80"/>
  <c r="BQ80"/>
  <c r="Y81"/>
  <c r="AY81" s="1"/>
  <c r="BG81"/>
  <c r="BH81"/>
  <c r="BI81"/>
  <c r="BJ81"/>
  <c r="BP81"/>
  <c r="BQ81"/>
  <c r="Y403"/>
  <c r="BK403" s="1"/>
  <c r="BD403"/>
  <c r="BG403"/>
  <c r="BH403"/>
  <c r="BP403"/>
  <c r="BQ403"/>
  <c r="Y136"/>
  <c r="BK136" s="1"/>
  <c r="BG136"/>
  <c r="BH136"/>
  <c r="BI136"/>
  <c r="BJ136"/>
  <c r="BP136"/>
  <c r="BQ136"/>
  <c r="Y559"/>
  <c r="AY559" s="1"/>
  <c r="BD559"/>
  <c r="BG559"/>
  <c r="BH559"/>
  <c r="BP559"/>
  <c r="BQ559"/>
  <c r="Y167"/>
  <c r="AY167" s="1"/>
  <c r="BD167"/>
  <c r="BG167"/>
  <c r="BH167"/>
  <c r="BP167"/>
  <c r="BQ167"/>
  <c r="Y168"/>
  <c r="BK168" s="1"/>
  <c r="BD168"/>
  <c r="BG168"/>
  <c r="BH168"/>
  <c r="BP168"/>
  <c r="BQ168"/>
  <c r="Y169"/>
  <c r="AY169" s="1"/>
  <c r="BD169"/>
  <c r="BG169"/>
  <c r="BH169"/>
  <c r="BP169"/>
  <c r="BQ169"/>
  <c r="Y171"/>
  <c r="AY171" s="1"/>
  <c r="BD171"/>
  <c r="BG171"/>
  <c r="BH171"/>
  <c r="BP171"/>
  <c r="BQ171"/>
  <c r="Y172"/>
  <c r="AY172" s="1"/>
  <c r="BD172"/>
  <c r="BG172"/>
  <c r="BH172"/>
  <c r="BP172"/>
  <c r="BQ172"/>
  <c r="Y174"/>
  <c r="BK174" s="1"/>
  <c r="BD174"/>
  <c r="BG174"/>
  <c r="BH174"/>
  <c r="BP174"/>
  <c r="BQ174"/>
  <c r="Y179"/>
  <c r="AY179" s="1"/>
  <c r="BD179"/>
  <c r="BG179"/>
  <c r="BH179"/>
  <c r="BP179"/>
  <c r="BQ179"/>
  <c r="Y180"/>
  <c r="AY180" s="1"/>
  <c r="BD180"/>
  <c r="BG180"/>
  <c r="BH180"/>
  <c r="BP180"/>
  <c r="BQ180"/>
  <c r="Y181"/>
  <c r="AY181" s="1"/>
  <c r="BD181"/>
  <c r="BG181"/>
  <c r="BH181"/>
  <c r="BP181"/>
  <c r="BQ181"/>
  <c r="Y12"/>
  <c r="AY12" s="1"/>
  <c r="BG12"/>
  <c r="BH12"/>
  <c r="BI12"/>
  <c r="BJ12"/>
  <c r="BP12"/>
  <c r="BQ12"/>
  <c r="Y182"/>
  <c r="AY182" s="1"/>
  <c r="BD182"/>
  <c r="BG182"/>
  <c r="BH182"/>
  <c r="BP182"/>
  <c r="BQ182"/>
  <c r="Y183"/>
  <c r="AY183" s="1"/>
  <c r="BD183"/>
  <c r="BG183"/>
  <c r="BH183"/>
  <c r="BP183"/>
  <c r="BQ183"/>
  <c r="Y185"/>
  <c r="BK185" s="1"/>
  <c r="BD185"/>
  <c r="BG185"/>
  <c r="BH185"/>
  <c r="BP185"/>
  <c r="BQ185"/>
  <c r="Y186"/>
  <c r="BK186" s="1"/>
  <c r="BD186"/>
  <c r="BG186"/>
  <c r="BH186"/>
  <c r="BP186"/>
  <c r="BQ186"/>
  <c r="Y187"/>
  <c r="BK187" s="1"/>
  <c r="BD187"/>
  <c r="BG187"/>
  <c r="BH187"/>
  <c r="BP187"/>
  <c r="BQ187"/>
  <c r="Y188"/>
  <c r="AY188" s="1"/>
  <c r="BD188"/>
  <c r="BG188"/>
  <c r="BH188"/>
  <c r="BP188"/>
  <c r="BQ188"/>
  <c r="Y189"/>
  <c r="BK189" s="1"/>
  <c r="BD189"/>
  <c r="BG189"/>
  <c r="BH189"/>
  <c r="BP189"/>
  <c r="BQ189"/>
  <c r="Y190"/>
  <c r="AY190" s="1"/>
  <c r="BD190"/>
  <c r="BG190"/>
  <c r="BH190"/>
  <c r="BP190"/>
  <c r="BQ190"/>
  <c r="Y191"/>
  <c r="AY191" s="1"/>
  <c r="BD191"/>
  <c r="BG191"/>
  <c r="BH191"/>
  <c r="BP191"/>
  <c r="BQ191"/>
  <c r="Y192"/>
  <c r="AY192" s="1"/>
  <c r="BD192"/>
  <c r="BG192"/>
  <c r="BH192"/>
  <c r="BP192"/>
  <c r="BQ192"/>
  <c r="Y193"/>
  <c r="BK193" s="1"/>
  <c r="BD193"/>
  <c r="BG193"/>
  <c r="BH193"/>
  <c r="BP193"/>
  <c r="BQ193"/>
  <c r="Y194"/>
  <c r="AY194" s="1"/>
  <c r="BD194"/>
  <c r="BG194"/>
  <c r="BH194"/>
  <c r="BP194"/>
  <c r="BQ194"/>
  <c r="Y195"/>
  <c r="BK195" s="1"/>
  <c r="BG195"/>
  <c r="BH195"/>
  <c r="BP195"/>
  <c r="BQ195"/>
  <c r="Y199"/>
  <c r="AY199" s="1"/>
  <c r="BD199"/>
  <c r="BG199"/>
  <c r="BH199"/>
  <c r="BP199"/>
  <c r="BQ199"/>
  <c r="Y201"/>
  <c r="BK201" s="1"/>
  <c r="BD201"/>
  <c r="BG201"/>
  <c r="BH201"/>
  <c r="BP201"/>
  <c r="BQ201"/>
  <c r="Y15"/>
  <c r="BG15"/>
  <c r="BH15"/>
  <c r="BI15"/>
  <c r="BJ15"/>
  <c r="BP15"/>
  <c r="BQ15"/>
  <c r="Y16"/>
  <c r="BK16" s="1"/>
  <c r="BG16"/>
  <c r="BH16"/>
  <c r="BI16"/>
  <c r="BJ16"/>
  <c r="BP16"/>
  <c r="BQ16"/>
  <c r="Y202"/>
  <c r="AY202" s="1"/>
  <c r="BD202"/>
  <c r="BG202"/>
  <c r="BH202"/>
  <c r="BP202"/>
  <c r="BQ202"/>
  <c r="Y18"/>
  <c r="BK18" s="1"/>
  <c r="BG18"/>
  <c r="BH18"/>
  <c r="BI18"/>
  <c r="BJ18"/>
  <c r="BP18"/>
  <c r="BQ18"/>
  <c r="Y20"/>
  <c r="AY20" s="1"/>
  <c r="BG20"/>
  <c r="BH20"/>
  <c r="BI20"/>
  <c r="BJ20"/>
  <c r="BP20"/>
  <c r="BQ20"/>
  <c r="Y204"/>
  <c r="AY204" s="1"/>
  <c r="BD204"/>
  <c r="BG204"/>
  <c r="BH204"/>
  <c r="BP204"/>
  <c r="BQ204"/>
  <c r="Y205"/>
  <c r="AY205" s="1"/>
  <c r="BD205"/>
  <c r="BG205"/>
  <c r="BH205"/>
  <c r="BP205"/>
  <c r="BQ205"/>
  <c r="Y206"/>
  <c r="BK206" s="1"/>
  <c r="BD206"/>
  <c r="BG206"/>
  <c r="BH206"/>
  <c r="BP206"/>
  <c r="BQ206"/>
  <c r="Y207"/>
  <c r="BK207" s="1"/>
  <c r="BD207"/>
  <c r="BG207"/>
  <c r="BH207"/>
  <c r="BP207"/>
  <c r="BQ207"/>
  <c r="Y208"/>
  <c r="BK208" s="1"/>
  <c r="BD208"/>
  <c r="BG208"/>
  <c r="BH208"/>
  <c r="BP208"/>
  <c r="BQ208"/>
  <c r="Y209"/>
  <c r="AY209" s="1"/>
  <c r="BD209"/>
  <c r="BG209"/>
  <c r="BH209"/>
  <c r="BP209"/>
  <c r="BQ209"/>
  <c r="Y212"/>
  <c r="AY212" s="1"/>
  <c r="BD212"/>
  <c r="BG212"/>
  <c r="BH212"/>
  <c r="BP212"/>
  <c r="BQ212"/>
  <c r="Y215"/>
  <c r="AY215" s="1"/>
  <c r="BD215"/>
  <c r="BG215"/>
  <c r="BH215"/>
  <c r="BP215"/>
  <c r="BQ215"/>
  <c r="Y216"/>
  <c r="AY216" s="1"/>
  <c r="BD216"/>
  <c r="BG216"/>
  <c r="BH216"/>
  <c r="BP216"/>
  <c r="BQ216"/>
  <c r="Y217"/>
  <c r="AY217" s="1"/>
  <c r="BD217"/>
  <c r="BG217"/>
  <c r="BH217"/>
  <c r="BP217"/>
  <c r="BQ217"/>
  <c r="Y218"/>
  <c r="BK218" s="1"/>
  <c r="BD218"/>
  <c r="BG218"/>
  <c r="BH218"/>
  <c r="BP218"/>
  <c r="BQ218"/>
  <c r="Y220"/>
  <c r="BK220" s="1"/>
  <c r="BD220"/>
  <c r="BG220"/>
  <c r="BH220"/>
  <c r="BP220"/>
  <c r="BQ220"/>
  <c r="Y223"/>
  <c r="AY223" s="1"/>
  <c r="BD223"/>
  <c r="BG223"/>
  <c r="BH223"/>
  <c r="BP223"/>
  <c r="BQ223"/>
  <c r="Y224"/>
  <c r="AY224" s="1"/>
  <c r="BD224"/>
  <c r="BG224"/>
  <c r="BH224"/>
  <c r="BP224"/>
  <c r="BQ224"/>
  <c r="Y225"/>
  <c r="AY225" s="1"/>
  <c r="BD225"/>
  <c r="BG225"/>
  <c r="BH225"/>
  <c r="BP225"/>
  <c r="BQ225"/>
  <c r="Y226"/>
  <c r="AY226" s="1"/>
  <c r="BD226"/>
  <c r="BG226"/>
  <c r="BH226"/>
  <c r="BP226"/>
  <c r="BQ226"/>
  <c r="Y227"/>
  <c r="AY227" s="1"/>
  <c r="BD227"/>
  <c r="BG227"/>
  <c r="BH227"/>
  <c r="BP227"/>
  <c r="BQ227"/>
  <c r="Y228"/>
  <c r="AY228" s="1"/>
  <c r="BD228"/>
  <c r="BG228"/>
  <c r="BH228"/>
  <c r="BP228"/>
  <c r="BQ228"/>
  <c r="Y229"/>
  <c r="BD229"/>
  <c r="BG229"/>
  <c r="BH229"/>
  <c r="BP229"/>
  <c r="BQ229"/>
  <c r="Y230"/>
  <c r="AY230" s="1"/>
  <c r="BD230"/>
  <c r="BG230"/>
  <c r="BH230"/>
  <c r="BP230"/>
  <c r="BQ230"/>
  <c r="Y235"/>
  <c r="AY235" s="1"/>
  <c r="BD235"/>
  <c r="BG235"/>
  <c r="BH235"/>
  <c r="BP235"/>
  <c r="BQ235"/>
  <c r="Y242"/>
  <c r="AY242" s="1"/>
  <c r="BD242"/>
  <c r="BG242"/>
  <c r="BH242"/>
  <c r="BP242"/>
  <c r="BQ242"/>
  <c r="Y243"/>
  <c r="AY243" s="1"/>
  <c r="BD243"/>
  <c r="BG243"/>
  <c r="BH243"/>
  <c r="BP243"/>
  <c r="BQ243"/>
  <c r="Y29"/>
  <c r="BG29"/>
  <c r="BH29"/>
  <c r="BI29"/>
  <c r="BJ29"/>
  <c r="BP29"/>
  <c r="BQ29"/>
  <c r="Y244"/>
  <c r="AY244" s="1"/>
  <c r="BD244"/>
  <c r="BG244"/>
  <c r="BH244"/>
  <c r="BP244"/>
  <c r="BQ244"/>
  <c r="Y245"/>
  <c r="AY245" s="1"/>
  <c r="BD245"/>
  <c r="BG245"/>
  <c r="BH245"/>
  <c r="BP245"/>
  <c r="BQ245"/>
  <c r="Y246"/>
  <c r="AY246" s="1"/>
  <c r="BD246"/>
  <c r="BG246"/>
  <c r="BH246"/>
  <c r="BP246"/>
  <c r="BQ246"/>
  <c r="Y247"/>
  <c r="AY247" s="1"/>
  <c r="BD247"/>
  <c r="BG247"/>
  <c r="BH247"/>
  <c r="BP247"/>
  <c r="BQ247"/>
  <c r="Y248"/>
  <c r="AY248" s="1"/>
  <c r="BD248"/>
  <c r="BG248"/>
  <c r="BH248"/>
  <c r="BP248"/>
  <c r="BQ248"/>
  <c r="Y249"/>
  <c r="AY249" s="1"/>
  <c r="BD249"/>
  <c r="BG249"/>
  <c r="BH249"/>
  <c r="BP249"/>
  <c r="BQ249"/>
  <c r="Y250"/>
  <c r="AY250" s="1"/>
  <c r="BD250"/>
  <c r="BG250"/>
  <c r="BH250"/>
  <c r="BP250"/>
  <c r="BQ250"/>
  <c r="Y251"/>
  <c r="AY251" s="1"/>
  <c r="BD251"/>
  <c r="BG251"/>
  <c r="BH251"/>
  <c r="BP251"/>
  <c r="BQ251"/>
  <c r="Y252"/>
  <c r="AY252" s="1"/>
  <c r="BD252"/>
  <c r="BG252"/>
  <c r="BH252"/>
  <c r="BP252"/>
  <c r="BQ252"/>
  <c r="Y253"/>
  <c r="AY253" s="1"/>
  <c r="BD253"/>
  <c r="BG253"/>
  <c r="BH253"/>
  <c r="BP253"/>
  <c r="BQ253"/>
  <c r="Y31"/>
  <c r="BK31" s="1"/>
  <c r="BG31"/>
  <c r="BH31"/>
  <c r="BI31"/>
  <c r="BJ31"/>
  <c r="BP31"/>
  <c r="BQ31"/>
  <c r="Y255"/>
  <c r="AY255" s="1"/>
  <c r="BD255"/>
  <c r="BG255"/>
  <c r="BH255"/>
  <c r="BP255"/>
  <c r="BQ255"/>
  <c r="Y256"/>
  <c r="AY256" s="1"/>
  <c r="BD256"/>
  <c r="BG256"/>
  <c r="BH256"/>
  <c r="BP256"/>
  <c r="BQ256"/>
  <c r="Y260"/>
  <c r="AY260" s="1"/>
  <c r="BD260"/>
  <c r="BG260"/>
  <c r="BH260"/>
  <c r="BP260"/>
  <c r="BQ260"/>
  <c r="Y261"/>
  <c r="AY261" s="1"/>
  <c r="BD261"/>
  <c r="BG261"/>
  <c r="BH261"/>
  <c r="BP261"/>
  <c r="BQ261"/>
  <c r="Y262"/>
  <c r="AY262" s="1"/>
  <c r="BD262"/>
  <c r="BG262"/>
  <c r="BH262"/>
  <c r="BP262"/>
  <c r="BQ262"/>
  <c r="Y36"/>
  <c r="AY36" s="1"/>
  <c r="BG36"/>
  <c r="BH36"/>
  <c r="BI36"/>
  <c r="BJ36"/>
  <c r="BP36"/>
  <c r="BQ36"/>
  <c r="Y37"/>
  <c r="AY37" s="1"/>
  <c r="BG37"/>
  <c r="BH37"/>
  <c r="BI37"/>
  <c r="BJ37"/>
  <c r="BP37"/>
  <c r="BQ37"/>
  <c r="Y264"/>
  <c r="AY264" s="1"/>
  <c r="BD264"/>
  <c r="BG264"/>
  <c r="BH264"/>
  <c r="BP264"/>
  <c r="BQ264"/>
  <c r="Y265"/>
  <c r="AY265" s="1"/>
  <c r="BD265"/>
  <c r="BG265"/>
  <c r="BH265"/>
  <c r="BP265"/>
  <c r="BQ265"/>
  <c r="Y266"/>
  <c r="AY266" s="1"/>
  <c r="BD266"/>
  <c r="BG266"/>
  <c r="BH266"/>
  <c r="BP266"/>
  <c r="BQ266"/>
  <c r="Y268"/>
  <c r="AY268" s="1"/>
  <c r="BD268"/>
  <c r="BG268"/>
  <c r="BH268"/>
  <c r="BP268"/>
  <c r="BQ268"/>
  <c r="Y269"/>
  <c r="AY269" s="1"/>
  <c r="BD269"/>
  <c r="BG269"/>
  <c r="BH269"/>
  <c r="BP269"/>
  <c r="BQ269"/>
  <c r="Y271"/>
  <c r="AY271" s="1"/>
  <c r="BD271"/>
  <c r="BG271"/>
  <c r="BH271"/>
  <c r="BP271"/>
  <c r="BQ271"/>
  <c r="Y45"/>
  <c r="AY45" s="1"/>
  <c r="BG45"/>
  <c r="BH45"/>
  <c r="BI45"/>
  <c r="BJ45"/>
  <c r="BP45"/>
  <c r="BQ45"/>
  <c r="Y272"/>
  <c r="AY272" s="1"/>
  <c r="BD272"/>
  <c r="BG272"/>
  <c r="BH272"/>
  <c r="BP272"/>
  <c r="BQ272"/>
  <c r="Y273"/>
  <c r="AY273" s="1"/>
  <c r="BD273"/>
  <c r="BG273"/>
  <c r="BH273"/>
  <c r="BP273"/>
  <c r="BQ273"/>
  <c r="Y274"/>
  <c r="AY274" s="1"/>
  <c r="BD274"/>
  <c r="BG274"/>
  <c r="BH274"/>
  <c r="BP274"/>
  <c r="BQ274"/>
  <c r="Y275"/>
  <c r="AY275" s="1"/>
  <c r="BD275"/>
  <c r="BG275"/>
  <c r="BH275"/>
  <c r="BP275"/>
  <c r="BQ275"/>
  <c r="Y276"/>
  <c r="AY276" s="1"/>
  <c r="BD276"/>
  <c r="BG276"/>
  <c r="BH276"/>
  <c r="BP276"/>
  <c r="BQ276"/>
  <c r="Y278"/>
  <c r="BK278" s="1"/>
  <c r="BD278"/>
  <c r="BG278"/>
  <c r="BH278"/>
  <c r="BP278"/>
  <c r="BQ278"/>
  <c r="Y279"/>
  <c r="BK279" s="1"/>
  <c r="BD279"/>
  <c r="BG279"/>
  <c r="BH279"/>
  <c r="BP279"/>
  <c r="BQ279"/>
  <c r="Y280"/>
  <c r="AY280" s="1"/>
  <c r="BD280"/>
  <c r="BG280"/>
  <c r="BH280"/>
  <c r="BP280"/>
  <c r="BQ280"/>
  <c r="Y282"/>
  <c r="AY282" s="1"/>
  <c r="BD282"/>
  <c r="BG282"/>
  <c r="BH282"/>
  <c r="BP282"/>
  <c r="BQ282"/>
  <c r="Y283"/>
  <c r="AY283" s="1"/>
  <c r="BD283"/>
  <c r="BG283"/>
  <c r="BH283"/>
  <c r="BP283"/>
  <c r="BQ283"/>
  <c r="Y46"/>
  <c r="AY46" s="1"/>
  <c r="BG46"/>
  <c r="BH46"/>
  <c r="BI46"/>
  <c r="BJ46"/>
  <c r="BP46"/>
  <c r="BQ46"/>
  <c r="Y47"/>
  <c r="BK47" s="1"/>
  <c r="BG47"/>
  <c r="BH47"/>
  <c r="BI47"/>
  <c r="BJ47"/>
  <c r="BP47"/>
  <c r="BQ47"/>
  <c r="Y284"/>
  <c r="AY284" s="1"/>
  <c r="BD284"/>
  <c r="BG284"/>
  <c r="BH284"/>
  <c r="BP284"/>
  <c r="BQ284"/>
  <c r="Y285"/>
  <c r="AY285" s="1"/>
  <c r="BD285"/>
  <c r="BG285"/>
  <c r="BH285"/>
  <c r="BP285"/>
  <c r="BQ285"/>
  <c r="Y286"/>
  <c r="AY286" s="1"/>
  <c r="BD286"/>
  <c r="BG286"/>
  <c r="BH286"/>
  <c r="BP286"/>
  <c r="BQ286"/>
  <c r="Y287"/>
  <c r="AY287" s="1"/>
  <c r="BD287"/>
  <c r="BG287"/>
  <c r="BH287"/>
  <c r="BP287"/>
  <c r="BQ287"/>
  <c r="Y288"/>
  <c r="AY288" s="1"/>
  <c r="BD288"/>
  <c r="BG288"/>
  <c r="BH288"/>
  <c r="BP288"/>
  <c r="BQ288"/>
  <c r="Y49"/>
  <c r="BK49" s="1"/>
  <c r="BG49"/>
  <c r="BH49"/>
  <c r="BI49"/>
  <c r="BJ49"/>
  <c r="BP49"/>
  <c r="BQ49"/>
  <c r="Y290"/>
  <c r="AY290" s="1"/>
  <c r="BD290"/>
  <c r="BG290"/>
  <c r="BH290"/>
  <c r="BP290"/>
  <c r="BQ290"/>
  <c r="Y291"/>
  <c r="AY291" s="1"/>
  <c r="BD291"/>
  <c r="BG291"/>
  <c r="BH291"/>
  <c r="BP291"/>
  <c r="BQ291"/>
  <c r="Y292"/>
  <c r="AY292" s="1"/>
  <c r="BD292"/>
  <c r="BG292"/>
  <c r="BH292"/>
  <c r="BP292"/>
  <c r="BQ292"/>
  <c r="Y293"/>
  <c r="AY293" s="1"/>
  <c r="BD293"/>
  <c r="BG293"/>
  <c r="BH293"/>
  <c r="BP293"/>
  <c r="BQ293"/>
  <c r="Y294"/>
  <c r="AY294" s="1"/>
  <c r="BD294"/>
  <c r="BG294"/>
  <c r="BH294"/>
  <c r="BP294"/>
  <c r="BQ294"/>
  <c r="Y295"/>
  <c r="AY295" s="1"/>
  <c r="BD295"/>
  <c r="BG295"/>
  <c r="BH295"/>
  <c r="BP295"/>
  <c r="BQ295"/>
  <c r="Y296"/>
  <c r="AY296" s="1"/>
  <c r="BD296"/>
  <c r="BG296"/>
  <c r="BH296"/>
  <c r="BP296"/>
  <c r="BQ296"/>
  <c r="Y297"/>
  <c r="AY297" s="1"/>
  <c r="BD297"/>
  <c r="BG297"/>
  <c r="BH297"/>
  <c r="BP297"/>
  <c r="BQ297"/>
  <c r="Y298"/>
  <c r="AY298" s="1"/>
  <c r="BD298"/>
  <c r="BG298"/>
  <c r="BH298"/>
  <c r="BP298"/>
  <c r="BQ298"/>
  <c r="Y299"/>
  <c r="AY299" s="1"/>
  <c r="BD299"/>
  <c r="BG299"/>
  <c r="BH299"/>
  <c r="BP299"/>
  <c r="BQ299"/>
  <c r="Y300"/>
  <c r="AY300" s="1"/>
  <c r="BD300"/>
  <c r="BG300"/>
  <c r="BH300"/>
  <c r="BP300"/>
  <c r="BQ300"/>
  <c r="Y301"/>
  <c r="AY301" s="1"/>
  <c r="BD301"/>
  <c r="BG301"/>
  <c r="BH301"/>
  <c r="BP301"/>
  <c r="BQ301"/>
  <c r="Y52"/>
  <c r="AY52" s="1"/>
  <c r="BG52"/>
  <c r="BH52"/>
  <c r="BI52"/>
  <c r="BJ52"/>
  <c r="BP52"/>
  <c r="BQ52"/>
  <c r="Y302"/>
  <c r="BK302" s="1"/>
  <c r="BD302"/>
  <c r="BG302"/>
  <c r="BH302"/>
  <c r="BP302"/>
  <c r="BQ302"/>
  <c r="Y303"/>
  <c r="AY303" s="1"/>
  <c r="BD303"/>
  <c r="BG303"/>
  <c r="BH303"/>
  <c r="BP303"/>
  <c r="BQ303"/>
  <c r="Y304"/>
  <c r="AY304" s="1"/>
  <c r="BD304"/>
  <c r="BG304"/>
  <c r="BH304"/>
  <c r="BP304"/>
  <c r="BQ304"/>
  <c r="Y306"/>
  <c r="BK306" s="1"/>
  <c r="BD306"/>
  <c r="BG306"/>
  <c r="BH306"/>
  <c r="BP306"/>
  <c r="BQ306"/>
  <c r="Y307"/>
  <c r="AY307" s="1"/>
  <c r="BD307"/>
  <c r="BG307"/>
  <c r="BH307"/>
  <c r="BP307"/>
  <c r="BQ307"/>
  <c r="Y308"/>
  <c r="AY308" s="1"/>
  <c r="BD308"/>
  <c r="BG308"/>
  <c r="BH308"/>
  <c r="BP308"/>
  <c r="BQ308"/>
  <c r="Y309"/>
  <c r="AY309" s="1"/>
  <c r="BD309"/>
  <c r="BG309"/>
  <c r="BH309"/>
  <c r="BP309"/>
  <c r="BQ309"/>
  <c r="Y310"/>
  <c r="AY310" s="1"/>
  <c r="BD310"/>
  <c r="BG310"/>
  <c r="BH310"/>
  <c r="BP310"/>
  <c r="BQ310"/>
  <c r="Y311"/>
  <c r="AY311" s="1"/>
  <c r="BD311"/>
  <c r="BG311"/>
  <c r="BH311"/>
  <c r="BP311"/>
  <c r="BQ311"/>
  <c r="Y312"/>
  <c r="AY312" s="1"/>
  <c r="BD312"/>
  <c r="BG312"/>
  <c r="BH312"/>
  <c r="BP312"/>
  <c r="BQ312"/>
  <c r="Y57"/>
  <c r="AY57" s="1"/>
  <c r="BG57"/>
  <c r="BH57"/>
  <c r="BI57"/>
  <c r="BJ57"/>
  <c r="BP57"/>
  <c r="BQ57"/>
  <c r="Y313"/>
  <c r="AY313" s="1"/>
  <c r="BD313"/>
  <c r="BG313"/>
  <c r="BH313"/>
  <c r="BP313"/>
  <c r="BQ313"/>
  <c r="Y316"/>
  <c r="AY316" s="1"/>
  <c r="BD316"/>
  <c r="BG316"/>
  <c r="BH316"/>
  <c r="BP316"/>
  <c r="BQ316"/>
  <c r="Y317"/>
  <c r="AY317" s="1"/>
  <c r="BD317"/>
  <c r="BG317"/>
  <c r="BH317"/>
  <c r="BP317"/>
  <c r="BQ317"/>
  <c r="Y318"/>
  <c r="AY318" s="1"/>
  <c r="BD318"/>
  <c r="BG318"/>
  <c r="BH318"/>
  <c r="BP318"/>
  <c r="BQ318"/>
  <c r="Y59"/>
  <c r="BK59" s="1"/>
  <c r="BG59"/>
  <c r="BH59"/>
  <c r="BI59"/>
  <c r="BJ59"/>
  <c r="BP59"/>
  <c r="BQ59"/>
  <c r="Y60"/>
  <c r="AY60" s="1"/>
  <c r="BG60"/>
  <c r="BH60"/>
  <c r="BI60"/>
  <c r="BJ60"/>
  <c r="BP60"/>
  <c r="BQ60"/>
  <c r="Y319"/>
  <c r="AY319" s="1"/>
  <c r="BD319"/>
  <c r="BG319"/>
  <c r="BH319"/>
  <c r="BP319"/>
  <c r="BQ319"/>
  <c r="Y62"/>
  <c r="AY62" s="1"/>
  <c r="BG62"/>
  <c r="BH62"/>
  <c r="BI62"/>
  <c r="BJ62"/>
  <c r="BP62"/>
  <c r="BQ62"/>
  <c r="Y321"/>
  <c r="AY321" s="1"/>
  <c r="BD321"/>
  <c r="BG321"/>
  <c r="BH321"/>
  <c r="BP321"/>
  <c r="BQ321"/>
  <c r="Y322"/>
  <c r="AY322" s="1"/>
  <c r="BD322"/>
  <c r="BG322"/>
  <c r="BH322"/>
  <c r="BP322"/>
  <c r="BQ322"/>
  <c r="Y323"/>
  <c r="AY323" s="1"/>
  <c r="BD323"/>
  <c r="BG323"/>
  <c r="BH323"/>
  <c r="BP323"/>
  <c r="BQ323"/>
  <c r="Y324"/>
  <c r="AY324" s="1"/>
  <c r="BD324"/>
  <c r="BG324"/>
  <c r="BH324"/>
  <c r="BP324"/>
  <c r="BQ324"/>
  <c r="Y326"/>
  <c r="AY326" s="1"/>
  <c r="BD326"/>
  <c r="BG326"/>
  <c r="BH326"/>
  <c r="BP326"/>
  <c r="BQ326"/>
  <c r="Y327"/>
  <c r="AY327" s="1"/>
  <c r="BD327"/>
  <c r="BG327"/>
  <c r="BH327"/>
  <c r="BP327"/>
  <c r="BQ327"/>
  <c r="Y330"/>
  <c r="AY330" s="1"/>
  <c r="BD330"/>
  <c r="BG330"/>
  <c r="BH330"/>
  <c r="BP330"/>
  <c r="BQ330"/>
  <c r="Y332"/>
  <c r="AY332" s="1"/>
  <c r="BD332"/>
  <c r="BG332"/>
  <c r="BH332"/>
  <c r="BP332"/>
  <c r="BQ332"/>
  <c r="Y64"/>
  <c r="AY64" s="1"/>
  <c r="BG64"/>
  <c r="BH64"/>
  <c r="BI64"/>
  <c r="BJ64"/>
  <c r="BP64"/>
  <c r="BQ64"/>
  <c r="Y333"/>
  <c r="AY333" s="1"/>
  <c r="BD333"/>
  <c r="BG333"/>
  <c r="BH333"/>
  <c r="BP333"/>
  <c r="BQ333"/>
  <c r="Y334"/>
  <c r="AY334" s="1"/>
  <c r="BD334"/>
  <c r="BG334"/>
  <c r="BH334"/>
  <c r="BP334"/>
  <c r="BQ334"/>
  <c r="Y335"/>
  <c r="BK335" s="1"/>
  <c r="BD335"/>
  <c r="BG335"/>
  <c r="BH335"/>
  <c r="BP335"/>
  <c r="BQ335"/>
  <c r="Y336"/>
  <c r="AY336" s="1"/>
  <c r="BD336"/>
  <c r="BG336"/>
  <c r="BH336"/>
  <c r="BP336"/>
  <c r="BQ336"/>
  <c r="Y337"/>
  <c r="AY337" s="1"/>
  <c r="BD337"/>
  <c r="BG337"/>
  <c r="BH337"/>
  <c r="BP337"/>
  <c r="BQ337"/>
  <c r="Y338"/>
  <c r="AY338" s="1"/>
  <c r="BD338"/>
  <c r="BG338"/>
  <c r="BH338"/>
  <c r="BP338"/>
  <c r="BQ338"/>
  <c r="Y339"/>
  <c r="AY339" s="1"/>
  <c r="BD339"/>
  <c r="BG339"/>
  <c r="BH339"/>
  <c r="BP339"/>
  <c r="BQ339"/>
  <c r="Y340"/>
  <c r="AY340" s="1"/>
  <c r="BD340"/>
  <c r="BG340"/>
  <c r="BH340"/>
  <c r="BP340"/>
  <c r="BQ340"/>
  <c r="Y342"/>
  <c r="AY342" s="1"/>
  <c r="BD342"/>
  <c r="BG342"/>
  <c r="BH342"/>
  <c r="BP342"/>
  <c r="BQ342"/>
  <c r="Y343"/>
  <c r="AY343" s="1"/>
  <c r="BD343"/>
  <c r="BG343"/>
  <c r="BH343"/>
  <c r="BP343"/>
  <c r="BQ343"/>
  <c r="Y344"/>
  <c r="AY344" s="1"/>
  <c r="BD344"/>
  <c r="BG344"/>
  <c r="BH344"/>
  <c r="BP344"/>
  <c r="BQ344"/>
  <c r="Y345"/>
  <c r="AY345" s="1"/>
  <c r="BD345"/>
  <c r="BG345"/>
  <c r="BH345"/>
  <c r="BP345"/>
  <c r="BQ345"/>
  <c r="Y346"/>
  <c r="AY346" s="1"/>
  <c r="BD346"/>
  <c r="BG346"/>
  <c r="BH346"/>
  <c r="BP346"/>
  <c r="BQ346"/>
  <c r="Y347"/>
  <c r="AY347" s="1"/>
  <c r="BD347"/>
  <c r="BG347"/>
  <c r="BH347"/>
  <c r="BP347"/>
  <c r="BQ347"/>
  <c r="Y349"/>
  <c r="AY349" s="1"/>
  <c r="BD349"/>
  <c r="BG349"/>
  <c r="BH349"/>
  <c r="BP349"/>
  <c r="BQ349"/>
  <c r="Y350"/>
  <c r="AY350" s="1"/>
  <c r="BD350"/>
  <c r="BG350"/>
  <c r="BH350"/>
  <c r="BP350"/>
  <c r="BQ350"/>
  <c r="Y351"/>
  <c r="AY351" s="1"/>
  <c r="BD351"/>
  <c r="BG351"/>
  <c r="BH351"/>
  <c r="BP351"/>
  <c r="BQ351"/>
  <c r="Y352"/>
  <c r="AY352" s="1"/>
  <c r="BD352"/>
  <c r="BG352"/>
  <c r="BH352"/>
  <c r="BP352"/>
  <c r="BQ352"/>
  <c r="Y353"/>
  <c r="BK353" s="1"/>
  <c r="BD353"/>
  <c r="BG353"/>
  <c r="BH353"/>
  <c r="BP353"/>
  <c r="BQ353"/>
  <c r="Y354"/>
  <c r="AY354" s="1"/>
  <c r="BD354"/>
  <c r="BG354"/>
  <c r="BH354"/>
  <c r="BP354"/>
  <c r="BQ354"/>
  <c r="Y355"/>
  <c r="AY355" s="1"/>
  <c r="BD355"/>
  <c r="BG355"/>
  <c r="BH355"/>
  <c r="BP355"/>
  <c r="BQ355"/>
  <c r="Y70"/>
  <c r="BG70"/>
  <c r="BH70"/>
  <c r="BI70"/>
  <c r="BJ70"/>
  <c r="BP70"/>
  <c r="BQ70"/>
  <c r="Y71"/>
  <c r="BK71" s="1"/>
  <c r="BG71"/>
  <c r="BH71"/>
  <c r="BI71"/>
  <c r="BJ71"/>
  <c r="BP71"/>
  <c r="BQ71"/>
  <c r="Y358"/>
  <c r="AY358" s="1"/>
  <c r="BD358"/>
  <c r="BG358"/>
  <c r="BH358"/>
  <c r="BP358"/>
  <c r="BQ358"/>
  <c r="Y359"/>
  <c r="AY359" s="1"/>
  <c r="BD359"/>
  <c r="BG359"/>
  <c r="BH359"/>
  <c r="BP359"/>
  <c r="BQ359"/>
  <c r="Y360"/>
  <c r="AY360" s="1"/>
  <c r="BD360"/>
  <c r="BG360"/>
  <c r="BH360"/>
  <c r="BP360"/>
  <c r="BQ360"/>
  <c r="Y362"/>
  <c r="AY362" s="1"/>
  <c r="BD362"/>
  <c r="BG362"/>
  <c r="BH362"/>
  <c r="BP362"/>
  <c r="BQ362"/>
  <c r="Y363"/>
  <c r="AY363" s="1"/>
  <c r="BD363"/>
  <c r="BG363"/>
  <c r="BH363"/>
  <c r="BP363"/>
  <c r="BQ363"/>
  <c r="Y366"/>
  <c r="AY366" s="1"/>
  <c r="BD366"/>
  <c r="BG366"/>
  <c r="BH366"/>
  <c r="BP366"/>
  <c r="BQ366"/>
  <c r="Y373"/>
  <c r="AY373" s="1"/>
  <c r="BD373"/>
  <c r="BG373"/>
  <c r="BH373"/>
  <c r="BP373"/>
  <c r="BQ373"/>
  <c r="Y374"/>
  <c r="AY374" s="1"/>
  <c r="BD374"/>
  <c r="BG374"/>
  <c r="BH374"/>
  <c r="BP374"/>
  <c r="BQ374"/>
  <c r="Y375"/>
  <c r="AY375" s="1"/>
  <c r="BD375"/>
  <c r="BG375"/>
  <c r="BH375"/>
  <c r="BP375"/>
  <c r="BQ375"/>
  <c r="Y376"/>
  <c r="BK376" s="1"/>
  <c r="BD376"/>
  <c r="BG376"/>
  <c r="BH376"/>
  <c r="BP376"/>
  <c r="BQ376"/>
  <c r="Y377"/>
  <c r="BK377" s="1"/>
  <c r="BD377"/>
  <c r="BG377"/>
  <c r="BH377"/>
  <c r="BP377"/>
  <c r="BQ377"/>
  <c r="Y378"/>
  <c r="AY378" s="1"/>
  <c r="BD378"/>
  <c r="BG378"/>
  <c r="BH378"/>
  <c r="BP378"/>
  <c r="BQ378"/>
  <c r="Y379"/>
  <c r="AY379" s="1"/>
  <c r="BD379"/>
  <c r="BG379"/>
  <c r="BH379"/>
  <c r="BP379"/>
  <c r="BQ379"/>
  <c r="Y380"/>
  <c r="AY380" s="1"/>
  <c r="BD380"/>
  <c r="BG380"/>
  <c r="BH380"/>
  <c r="BP380"/>
  <c r="BQ380"/>
  <c r="Y381"/>
  <c r="AY381" s="1"/>
  <c r="BD381"/>
  <c r="BG381"/>
  <c r="BH381"/>
  <c r="BP381"/>
  <c r="BQ381"/>
  <c r="Y382"/>
  <c r="AY382" s="1"/>
  <c r="BD382"/>
  <c r="BG382"/>
  <c r="BH382"/>
  <c r="BP382"/>
  <c r="BQ382"/>
  <c r="Y383"/>
  <c r="AY383" s="1"/>
  <c r="BD383"/>
  <c r="BG383"/>
  <c r="BH383"/>
  <c r="BP383"/>
  <c r="BQ383"/>
  <c r="Y384"/>
  <c r="AY384" s="1"/>
  <c r="BD384"/>
  <c r="BG384"/>
  <c r="BH384"/>
  <c r="BP384"/>
  <c r="BQ384"/>
  <c r="Y385"/>
  <c r="AY385" s="1"/>
  <c r="BD385"/>
  <c r="BG385"/>
  <c r="BH385"/>
  <c r="BP385"/>
  <c r="BQ385"/>
  <c r="Y386"/>
  <c r="AY386" s="1"/>
  <c r="BD386"/>
  <c r="BG386"/>
  <c r="BH386"/>
  <c r="BP386"/>
  <c r="BQ386"/>
  <c r="Y388"/>
  <c r="AY388" s="1"/>
  <c r="BD388"/>
  <c r="BG388"/>
  <c r="BH388"/>
  <c r="BP388"/>
  <c r="BQ388"/>
  <c r="Y389"/>
  <c r="AY389" s="1"/>
  <c r="BD389"/>
  <c r="BG389"/>
  <c r="BH389"/>
  <c r="BP389"/>
  <c r="BQ389"/>
  <c r="Y390"/>
  <c r="AY390" s="1"/>
  <c r="BD390"/>
  <c r="BG390"/>
  <c r="BH390"/>
  <c r="BP390"/>
  <c r="BQ390"/>
  <c r="Y391"/>
  <c r="AY391" s="1"/>
  <c r="BD391"/>
  <c r="BG391"/>
  <c r="BH391"/>
  <c r="BP391"/>
  <c r="BQ391"/>
  <c r="Y89"/>
  <c r="AY89" s="1"/>
  <c r="BG89"/>
  <c r="BH89"/>
  <c r="BI89"/>
  <c r="BJ89"/>
  <c r="BP89"/>
  <c r="BQ89"/>
  <c r="Y392"/>
  <c r="BK392" s="1"/>
  <c r="BD392"/>
  <c r="BG392"/>
  <c r="BH392"/>
  <c r="BP392"/>
  <c r="BQ392"/>
  <c r="Y393"/>
  <c r="AY393" s="1"/>
  <c r="BD393"/>
  <c r="BG393"/>
  <c r="BH393"/>
  <c r="BP393"/>
  <c r="BQ393"/>
  <c r="Y394"/>
  <c r="AY394" s="1"/>
  <c r="BD394"/>
  <c r="BG394"/>
  <c r="BH394"/>
  <c r="BP394"/>
  <c r="BQ394"/>
  <c r="Y395"/>
  <c r="AY395" s="1"/>
  <c r="BD395"/>
  <c r="BG395"/>
  <c r="BH395"/>
  <c r="BP395"/>
  <c r="BQ395"/>
  <c r="Y396"/>
  <c r="AY396" s="1"/>
  <c r="BD396"/>
  <c r="BG396"/>
  <c r="BH396"/>
  <c r="BP396"/>
  <c r="BQ396"/>
  <c r="Y90"/>
  <c r="BK90" s="1"/>
  <c r="BG90"/>
  <c r="BH90"/>
  <c r="BI90"/>
  <c r="BJ90"/>
  <c r="BP90"/>
  <c r="BQ90"/>
  <c r="Y397"/>
  <c r="BK397" s="1"/>
  <c r="BD397"/>
  <c r="BG397"/>
  <c r="BH397"/>
  <c r="BP397"/>
  <c r="BQ397"/>
  <c r="Y92"/>
  <c r="BK92" s="1"/>
  <c r="BG92"/>
  <c r="BH92"/>
  <c r="BI92"/>
  <c r="BJ92"/>
  <c r="BP92"/>
  <c r="BQ92"/>
  <c r="Y95"/>
  <c r="BG95"/>
  <c r="BH95"/>
  <c r="BI95"/>
  <c r="BJ95"/>
  <c r="BP95"/>
  <c r="BQ95"/>
  <c r="Y96"/>
  <c r="BK96" s="1"/>
  <c r="BG96"/>
  <c r="BH96"/>
  <c r="BI96"/>
  <c r="BJ96"/>
  <c r="BP96"/>
  <c r="BQ96"/>
  <c r="Y398"/>
  <c r="AY398" s="1"/>
  <c r="BD398"/>
  <c r="BG398"/>
  <c r="BH398"/>
  <c r="BP398"/>
  <c r="BQ398"/>
  <c r="Y399"/>
  <c r="BK399" s="1"/>
  <c r="BD399"/>
  <c r="BG399"/>
  <c r="BH399"/>
  <c r="BP399"/>
  <c r="BQ399"/>
  <c r="Y400"/>
  <c r="BK400" s="1"/>
  <c r="BD400"/>
  <c r="BG400"/>
  <c r="BH400"/>
  <c r="BP400"/>
  <c r="BQ400"/>
  <c r="Y401"/>
  <c r="AY401" s="1"/>
  <c r="BD401"/>
  <c r="BG401"/>
  <c r="BH401"/>
  <c r="BP401"/>
  <c r="BQ401"/>
  <c r="Y402"/>
  <c r="AY402" s="1"/>
  <c r="BD402"/>
  <c r="BG402"/>
  <c r="BH402"/>
  <c r="BP402"/>
  <c r="BQ402"/>
  <c r="Y404"/>
  <c r="AY404" s="1"/>
  <c r="BD404"/>
  <c r="BG404"/>
  <c r="BH404"/>
  <c r="BP404"/>
  <c r="BQ404"/>
  <c r="Y406"/>
  <c r="AY406" s="1"/>
  <c r="BD406"/>
  <c r="BG406"/>
  <c r="BH406"/>
  <c r="BP406"/>
  <c r="BQ406"/>
  <c r="Y407"/>
  <c r="AY407" s="1"/>
  <c r="BD407"/>
  <c r="BG407"/>
  <c r="BH407"/>
  <c r="BP407"/>
  <c r="BQ407"/>
  <c r="Y102"/>
  <c r="AY102" s="1"/>
  <c r="BG102"/>
  <c r="BH102"/>
  <c r="BI102"/>
  <c r="BJ102"/>
  <c r="BP102"/>
  <c r="BQ102"/>
  <c r="Y408"/>
  <c r="BK408" s="1"/>
  <c r="BD408"/>
  <c r="BG408"/>
  <c r="BH408"/>
  <c r="BP408"/>
  <c r="BQ408"/>
  <c r="Y103"/>
  <c r="AY103" s="1"/>
  <c r="BG103"/>
  <c r="BH103"/>
  <c r="BI103"/>
  <c r="BJ103"/>
  <c r="BP103"/>
  <c r="BQ103"/>
  <c r="Y409"/>
  <c r="AY409" s="1"/>
  <c r="BD409"/>
  <c r="BG409"/>
  <c r="BH409"/>
  <c r="BP409"/>
  <c r="BQ409"/>
  <c r="Y410"/>
  <c r="AY410" s="1"/>
  <c r="BD410"/>
  <c r="BG410"/>
  <c r="BH410"/>
  <c r="BP410"/>
  <c r="BQ410"/>
  <c r="Y411"/>
  <c r="AY411" s="1"/>
  <c r="BD411"/>
  <c r="BG411"/>
  <c r="BH411"/>
  <c r="BP411"/>
  <c r="BQ411"/>
  <c r="Y412"/>
  <c r="BK412" s="1"/>
  <c r="BD412"/>
  <c r="BG412"/>
  <c r="BH412"/>
  <c r="BP412"/>
  <c r="BQ412"/>
  <c r="Y413"/>
  <c r="BK413" s="1"/>
  <c r="BD413"/>
  <c r="BG413"/>
  <c r="BH413"/>
  <c r="BP413"/>
  <c r="BQ413"/>
  <c r="Y414"/>
  <c r="BK414" s="1"/>
  <c r="BD414"/>
  <c r="BG414"/>
  <c r="BH414"/>
  <c r="BP414"/>
  <c r="BQ414"/>
  <c r="Y415"/>
  <c r="AY415" s="1"/>
  <c r="BD415"/>
  <c r="BG415"/>
  <c r="BH415"/>
  <c r="BP415"/>
  <c r="BQ415"/>
  <c r="Y107"/>
  <c r="BG107"/>
  <c r="BH107"/>
  <c r="BI107"/>
  <c r="BJ107"/>
  <c r="BP107"/>
  <c r="BQ107"/>
  <c r="Y416"/>
  <c r="AY416" s="1"/>
  <c r="BD416"/>
  <c r="BG416"/>
  <c r="BH416"/>
  <c r="BP416"/>
  <c r="BQ416"/>
  <c r="Y111"/>
  <c r="AY111" s="1"/>
  <c r="BG111"/>
  <c r="BH111"/>
  <c r="BI111"/>
  <c r="BJ111"/>
  <c r="BP111"/>
  <c r="BQ111"/>
  <c r="Y417"/>
  <c r="BK417" s="1"/>
  <c r="BD417"/>
  <c r="BG417"/>
  <c r="BH417"/>
  <c r="BP417"/>
  <c r="BQ417"/>
  <c r="Y418"/>
  <c r="BK418" s="1"/>
  <c r="BD418"/>
  <c r="BG418"/>
  <c r="BH418"/>
  <c r="BP418"/>
  <c r="BQ418"/>
  <c r="Y419"/>
  <c r="AY419" s="1"/>
  <c r="BD419"/>
  <c r="BG419"/>
  <c r="BH419"/>
  <c r="BP419"/>
  <c r="BQ419"/>
  <c r="Y420"/>
  <c r="AY420" s="1"/>
  <c r="BD420"/>
  <c r="BG420"/>
  <c r="BH420"/>
  <c r="BP420"/>
  <c r="BQ420"/>
  <c r="Y421"/>
  <c r="AY421" s="1"/>
  <c r="BD421"/>
  <c r="BG421"/>
  <c r="BH421"/>
  <c r="BP421"/>
  <c r="BQ421"/>
  <c r="Y118"/>
  <c r="AY118" s="1"/>
  <c r="BG118"/>
  <c r="BH118"/>
  <c r="BI118"/>
  <c r="BJ118"/>
  <c r="BP118"/>
  <c r="BQ118"/>
  <c r="Y422"/>
  <c r="BK422" s="1"/>
  <c r="BD422"/>
  <c r="BG422"/>
  <c r="BH422"/>
  <c r="BP422"/>
  <c r="BQ422"/>
  <c r="Y423"/>
  <c r="BK423" s="1"/>
  <c r="BD423"/>
  <c r="BG423"/>
  <c r="BH423"/>
  <c r="BP423"/>
  <c r="BQ423"/>
  <c r="Y424"/>
  <c r="BK424" s="1"/>
  <c r="BD424"/>
  <c r="BG424"/>
  <c r="BH424"/>
  <c r="BP424"/>
  <c r="BQ424"/>
  <c r="Y425"/>
  <c r="AY425" s="1"/>
  <c r="BD425"/>
  <c r="BG425"/>
  <c r="BH425"/>
  <c r="BP425"/>
  <c r="BQ425"/>
  <c r="Y426"/>
  <c r="AY426" s="1"/>
  <c r="BD426"/>
  <c r="BG426"/>
  <c r="BH426"/>
  <c r="BP426"/>
  <c r="BQ426"/>
  <c r="Y119"/>
  <c r="BK119" s="1"/>
  <c r="BG119"/>
  <c r="BH119"/>
  <c r="BI119"/>
  <c r="BJ119"/>
  <c r="BP119"/>
  <c r="BQ119"/>
  <c r="Y427"/>
  <c r="AY427" s="1"/>
  <c r="BD427"/>
  <c r="BG427"/>
  <c r="BH427"/>
  <c r="BP427"/>
  <c r="BQ427"/>
  <c r="Y428"/>
  <c r="AY428" s="1"/>
  <c r="BD428"/>
  <c r="BG428"/>
  <c r="BH428"/>
  <c r="BP428"/>
  <c r="BQ428"/>
  <c r="Y429"/>
  <c r="BK429" s="1"/>
  <c r="BD429"/>
  <c r="BG429"/>
  <c r="BH429"/>
  <c r="BP429"/>
  <c r="BQ429"/>
  <c r="Y430"/>
  <c r="BK430" s="1"/>
  <c r="BD430"/>
  <c r="BG430"/>
  <c r="BH430"/>
  <c r="BP430"/>
  <c r="BQ430"/>
  <c r="Y432"/>
  <c r="AY432" s="1"/>
  <c r="BD432"/>
  <c r="BG432"/>
  <c r="BH432"/>
  <c r="BP432"/>
  <c r="BQ432"/>
  <c r="Y121"/>
  <c r="BG121"/>
  <c r="BH121"/>
  <c r="BI121"/>
  <c r="BJ121"/>
  <c r="BP121"/>
  <c r="BQ121"/>
  <c r="Y434"/>
  <c r="AY434" s="1"/>
  <c r="BD434"/>
  <c r="BG434"/>
  <c r="BH434"/>
  <c r="BP434"/>
  <c r="BQ434"/>
  <c r="Y435"/>
  <c r="AY435" s="1"/>
  <c r="BD435"/>
  <c r="BG435"/>
  <c r="BH435"/>
  <c r="BP435"/>
  <c r="BQ435"/>
  <c r="Y436"/>
  <c r="AY436" s="1"/>
  <c r="BD436"/>
  <c r="BG436"/>
  <c r="BH436"/>
  <c r="BP436"/>
  <c r="BQ436"/>
  <c r="Y437"/>
  <c r="BK437" s="1"/>
  <c r="BD437"/>
  <c r="BG437"/>
  <c r="BH437"/>
  <c r="BP437"/>
  <c r="BQ437"/>
  <c r="Y438"/>
  <c r="BK438" s="1"/>
  <c r="BD438"/>
  <c r="BG438"/>
  <c r="BH438"/>
  <c r="BP438"/>
  <c r="BQ438"/>
  <c r="Y439"/>
  <c r="AY439" s="1"/>
  <c r="BD439"/>
  <c r="BG439"/>
  <c r="BH439"/>
  <c r="BP439"/>
  <c r="BQ439"/>
  <c r="Y441"/>
  <c r="AY441" s="1"/>
  <c r="BD441"/>
  <c r="BG441"/>
  <c r="BH441"/>
  <c r="BP441"/>
  <c r="BQ441"/>
  <c r="Y442"/>
  <c r="AY442" s="1"/>
  <c r="BD442"/>
  <c r="BG442"/>
  <c r="BH442"/>
  <c r="BP442"/>
  <c r="BQ442"/>
  <c r="Y443"/>
  <c r="AY443" s="1"/>
  <c r="BD443"/>
  <c r="BG443"/>
  <c r="BH443"/>
  <c r="BP443"/>
  <c r="BQ443"/>
  <c r="Y128"/>
  <c r="AY128" s="1"/>
  <c r="BG128"/>
  <c r="BH128"/>
  <c r="BI128"/>
  <c r="BJ128"/>
  <c r="BP128"/>
  <c r="BQ128"/>
  <c r="Y444"/>
  <c r="BK444" s="1"/>
  <c r="BD444"/>
  <c r="BG444"/>
  <c r="BH444"/>
  <c r="BP444"/>
  <c r="BQ444"/>
  <c r="Y447"/>
  <c r="BK447" s="1"/>
  <c r="BD447"/>
  <c r="BG447"/>
  <c r="BH447"/>
  <c r="BP447"/>
  <c r="BQ447"/>
  <c r="Y448"/>
  <c r="AY448" s="1"/>
  <c r="BD448"/>
  <c r="BG448"/>
  <c r="BH448"/>
  <c r="BP448"/>
  <c r="BQ448"/>
  <c r="Y449"/>
  <c r="AY449" s="1"/>
  <c r="BD449"/>
  <c r="BG449"/>
  <c r="BH449"/>
  <c r="BP449"/>
  <c r="BQ449"/>
  <c r="Y450"/>
  <c r="AY450" s="1"/>
  <c r="BD450"/>
  <c r="BG450"/>
  <c r="BH450"/>
  <c r="BP450"/>
  <c r="BQ450"/>
  <c r="Y451"/>
  <c r="AY451" s="1"/>
  <c r="BD451"/>
  <c r="BG451"/>
  <c r="BH451"/>
  <c r="BP451"/>
  <c r="BQ451"/>
  <c r="Y452"/>
  <c r="AY452" s="1"/>
  <c r="BD452"/>
  <c r="BG452"/>
  <c r="BH452"/>
  <c r="BP452"/>
  <c r="BQ452"/>
  <c r="Y453"/>
  <c r="AY453" s="1"/>
  <c r="BD453"/>
  <c r="BG453"/>
  <c r="BH453"/>
  <c r="BP453"/>
  <c r="BQ453"/>
  <c r="Y454"/>
  <c r="AY454" s="1"/>
  <c r="BD454"/>
  <c r="BG454"/>
  <c r="BH454"/>
  <c r="BP454"/>
  <c r="BQ454"/>
  <c r="Y455"/>
  <c r="AY455" s="1"/>
  <c r="BD455"/>
  <c r="BG455"/>
  <c r="BH455"/>
  <c r="BP455"/>
  <c r="BQ455"/>
  <c r="Y457"/>
  <c r="AY457" s="1"/>
  <c r="BD457"/>
  <c r="BG457"/>
  <c r="BH457"/>
  <c r="BP457"/>
  <c r="BQ457"/>
  <c r="Y458"/>
  <c r="AY458" s="1"/>
  <c r="BD458"/>
  <c r="BG458"/>
  <c r="BH458"/>
  <c r="BP458"/>
  <c r="BQ458"/>
  <c r="Y459"/>
  <c r="AY459" s="1"/>
  <c r="BD459"/>
  <c r="BG459"/>
  <c r="BH459"/>
  <c r="BP459"/>
  <c r="BQ459"/>
  <c r="Y460"/>
  <c r="AY460" s="1"/>
  <c r="BD460"/>
  <c r="BG460"/>
  <c r="BH460"/>
  <c r="BP460"/>
  <c r="BQ460"/>
  <c r="Y461"/>
  <c r="AY461" s="1"/>
  <c r="BD461"/>
  <c r="BG461"/>
  <c r="BH461"/>
  <c r="BP461"/>
  <c r="BQ461"/>
  <c r="Y462"/>
  <c r="AY462" s="1"/>
  <c r="BD462"/>
  <c r="BG462"/>
  <c r="BH462"/>
  <c r="BP462"/>
  <c r="BQ462"/>
  <c r="Y463"/>
  <c r="BK463" s="1"/>
  <c r="BD463"/>
  <c r="BG463"/>
  <c r="BH463"/>
  <c r="BP463"/>
  <c r="BQ463"/>
  <c r="Y464"/>
  <c r="BK464" s="1"/>
  <c r="BD464"/>
  <c r="BG464"/>
  <c r="BH464"/>
  <c r="BP464"/>
  <c r="BQ464"/>
  <c r="Y465"/>
  <c r="AY465" s="1"/>
  <c r="BD465"/>
  <c r="BG465"/>
  <c r="BH465"/>
  <c r="BP465"/>
  <c r="BQ465"/>
  <c r="Y466"/>
  <c r="AY466" s="1"/>
  <c r="BD466"/>
  <c r="BG466"/>
  <c r="BH466"/>
  <c r="BP466"/>
  <c r="BQ466"/>
  <c r="Y467"/>
  <c r="AY467" s="1"/>
  <c r="BD467"/>
  <c r="BG467"/>
  <c r="BH467"/>
  <c r="BP467"/>
  <c r="BQ467"/>
  <c r="Y468"/>
  <c r="AY468" s="1"/>
  <c r="BD468"/>
  <c r="BG468"/>
  <c r="BH468"/>
  <c r="BP468"/>
  <c r="BQ468"/>
  <c r="Y469"/>
  <c r="AY469" s="1"/>
  <c r="BD469"/>
  <c r="BG469"/>
  <c r="BH469"/>
  <c r="BP469"/>
  <c r="BQ469"/>
  <c r="Y471"/>
  <c r="AY471" s="1"/>
  <c r="BD471"/>
  <c r="BG471"/>
  <c r="BH471"/>
  <c r="BP471"/>
  <c r="BQ471"/>
  <c r="Y472"/>
  <c r="AY472" s="1"/>
  <c r="BD472"/>
  <c r="BG472"/>
  <c r="BH472"/>
  <c r="BP472"/>
  <c r="BQ472"/>
  <c r="Y473"/>
  <c r="AY473" s="1"/>
  <c r="BD473"/>
  <c r="BG473"/>
  <c r="BH473"/>
  <c r="BP473"/>
  <c r="BQ473"/>
  <c r="Y474"/>
  <c r="AY474" s="1"/>
  <c r="BD474"/>
  <c r="BG474"/>
  <c r="BH474"/>
  <c r="BP474"/>
  <c r="BQ474"/>
  <c r="Y475"/>
  <c r="AY475" s="1"/>
  <c r="BD475"/>
  <c r="BG475"/>
  <c r="BH475"/>
  <c r="BP475"/>
  <c r="BQ475"/>
  <c r="Y476"/>
  <c r="AY476" s="1"/>
  <c r="BD476"/>
  <c r="BG476"/>
  <c r="BH476"/>
  <c r="BP476"/>
  <c r="BQ476"/>
  <c r="Y477"/>
  <c r="AY477" s="1"/>
  <c r="BD477"/>
  <c r="BG477"/>
  <c r="BH477"/>
  <c r="BP477"/>
  <c r="BQ477"/>
  <c r="Y478"/>
  <c r="AY478" s="1"/>
  <c r="BD478"/>
  <c r="BG478"/>
  <c r="BH478"/>
  <c r="BP478"/>
  <c r="BQ478"/>
  <c r="Y480"/>
  <c r="AY480" s="1"/>
  <c r="BD480"/>
  <c r="BG480"/>
  <c r="BH480"/>
  <c r="BP480"/>
  <c r="BQ480"/>
  <c r="Y481"/>
  <c r="AY481" s="1"/>
  <c r="BD481"/>
  <c r="BG481"/>
  <c r="BH481"/>
  <c r="BP481"/>
  <c r="BQ481"/>
  <c r="Y482"/>
  <c r="AY482" s="1"/>
  <c r="BD482"/>
  <c r="BG482"/>
  <c r="BH482"/>
  <c r="BP482"/>
  <c r="BQ482"/>
  <c r="Y483"/>
  <c r="AY483" s="1"/>
  <c r="BD483"/>
  <c r="BG483"/>
  <c r="BH483"/>
  <c r="BP483"/>
  <c r="BQ483"/>
  <c r="Y484"/>
  <c r="AY484" s="1"/>
  <c r="BD484"/>
  <c r="BG484"/>
  <c r="BH484"/>
  <c r="BP484"/>
  <c r="BQ484"/>
  <c r="Y485"/>
  <c r="AY485" s="1"/>
  <c r="BD485"/>
  <c r="BG485"/>
  <c r="BH485"/>
  <c r="BP485"/>
  <c r="BQ485"/>
  <c r="Y486"/>
  <c r="AY486" s="1"/>
  <c r="BD486"/>
  <c r="BG486"/>
  <c r="BH486"/>
  <c r="BP486"/>
  <c r="BQ486"/>
  <c r="Y487"/>
  <c r="AY487" s="1"/>
  <c r="BD487"/>
  <c r="BG487"/>
  <c r="BH487"/>
  <c r="BP487"/>
  <c r="BQ487"/>
  <c r="Y488"/>
  <c r="AY488" s="1"/>
  <c r="BD488"/>
  <c r="BG488"/>
  <c r="BH488"/>
  <c r="BP488"/>
  <c r="BQ488"/>
  <c r="Y489"/>
  <c r="AY489" s="1"/>
  <c r="BD489"/>
  <c r="BG489"/>
  <c r="BH489"/>
  <c r="BP489"/>
  <c r="BQ489"/>
  <c r="Y491"/>
  <c r="AY491" s="1"/>
  <c r="BD491"/>
  <c r="BG491"/>
  <c r="BH491"/>
  <c r="BP491"/>
  <c r="BQ491"/>
  <c r="Y492"/>
  <c r="AY492" s="1"/>
  <c r="BD492"/>
  <c r="BG492"/>
  <c r="BH492"/>
  <c r="BP492"/>
  <c r="BQ492"/>
  <c r="Y494"/>
  <c r="AY494" s="1"/>
  <c r="BD494"/>
  <c r="BG494"/>
  <c r="BH494"/>
  <c r="BP494"/>
  <c r="BQ494"/>
  <c r="Y495"/>
  <c r="AY495" s="1"/>
  <c r="BD495"/>
  <c r="BG495"/>
  <c r="BH495"/>
  <c r="BP495"/>
  <c r="BQ495"/>
  <c r="Y496"/>
  <c r="AY496" s="1"/>
  <c r="BD496"/>
  <c r="BG496"/>
  <c r="BH496"/>
  <c r="BP496"/>
  <c r="BQ496"/>
  <c r="Y497"/>
  <c r="AY497" s="1"/>
  <c r="BD497"/>
  <c r="BG497"/>
  <c r="BH497"/>
  <c r="BP497"/>
  <c r="BQ497"/>
  <c r="Y498"/>
  <c r="AY498" s="1"/>
  <c r="BD498"/>
  <c r="BG498"/>
  <c r="BH498"/>
  <c r="BP498"/>
  <c r="BQ498"/>
  <c r="Y499"/>
  <c r="AY499" s="1"/>
  <c r="BD499"/>
  <c r="BG499"/>
  <c r="BH499"/>
  <c r="BP499"/>
  <c r="BQ499"/>
  <c r="Y500"/>
  <c r="AY500" s="1"/>
  <c r="BD500"/>
  <c r="BG500"/>
  <c r="BH500"/>
  <c r="BP500"/>
  <c r="BQ500"/>
  <c r="Y501"/>
  <c r="AY501" s="1"/>
  <c r="BD501"/>
  <c r="BG501"/>
  <c r="BH501"/>
  <c r="BP501"/>
  <c r="BQ501"/>
  <c r="Y502"/>
  <c r="AY502" s="1"/>
  <c r="BD502"/>
  <c r="BG502"/>
  <c r="BH502"/>
  <c r="BP502"/>
  <c r="BQ502"/>
  <c r="Y503"/>
  <c r="AY503" s="1"/>
  <c r="BD503"/>
  <c r="BG503"/>
  <c r="BH503"/>
  <c r="BP503"/>
  <c r="BQ503"/>
  <c r="Y504"/>
  <c r="AY504" s="1"/>
  <c r="BD504"/>
  <c r="BG504"/>
  <c r="BH504"/>
  <c r="BP504"/>
  <c r="BQ504"/>
  <c r="Y505"/>
  <c r="BK505" s="1"/>
  <c r="BD505"/>
  <c r="BG505"/>
  <c r="BH505"/>
  <c r="BP505"/>
  <c r="BQ505"/>
  <c r="Y506"/>
  <c r="BK506" s="1"/>
  <c r="BD506"/>
  <c r="BG506"/>
  <c r="BH506"/>
  <c r="BP506"/>
  <c r="BQ506"/>
  <c r="Y507"/>
  <c r="AY507" s="1"/>
  <c r="BD507"/>
  <c r="BG507"/>
  <c r="BH507"/>
  <c r="BP507"/>
  <c r="BQ507"/>
  <c r="Y508"/>
  <c r="AY508" s="1"/>
  <c r="BD508"/>
  <c r="BG508"/>
  <c r="BH508"/>
  <c r="BP508"/>
  <c r="BQ508"/>
  <c r="Y509"/>
  <c r="BK509" s="1"/>
  <c r="BD509"/>
  <c r="BG509"/>
  <c r="BH509"/>
  <c r="BP509"/>
  <c r="BQ509"/>
  <c r="Y510"/>
  <c r="AY510" s="1"/>
  <c r="BD510"/>
  <c r="BG510"/>
  <c r="BH510"/>
  <c r="BP510"/>
  <c r="BQ510"/>
  <c r="Y511"/>
  <c r="AY511" s="1"/>
  <c r="BD511"/>
  <c r="BG511"/>
  <c r="BH511"/>
  <c r="BP511"/>
  <c r="BQ511"/>
  <c r="Y512"/>
  <c r="AY512" s="1"/>
  <c r="BD512"/>
  <c r="BG512"/>
  <c r="BH512"/>
  <c r="BP512"/>
  <c r="BQ512"/>
  <c r="Y513"/>
  <c r="BK513" s="1"/>
  <c r="BD513"/>
  <c r="BG513"/>
  <c r="BH513"/>
  <c r="BP513"/>
  <c r="BQ513"/>
  <c r="Y514"/>
  <c r="BK514" s="1"/>
  <c r="BD514"/>
  <c r="BG514"/>
  <c r="BH514"/>
  <c r="BP514"/>
  <c r="BQ514"/>
  <c r="Y515"/>
  <c r="AY515" s="1"/>
  <c r="BD515"/>
  <c r="BG515"/>
  <c r="BH515"/>
  <c r="BP515"/>
  <c r="BQ515"/>
  <c r="Y516"/>
  <c r="AY516" s="1"/>
  <c r="BD516"/>
  <c r="BG516"/>
  <c r="BH516"/>
  <c r="BP516"/>
  <c r="BQ516"/>
  <c r="Y517"/>
  <c r="BK517" s="1"/>
  <c r="BD517"/>
  <c r="BG517"/>
  <c r="BH517"/>
  <c r="BP517"/>
  <c r="BQ517"/>
  <c r="Y518"/>
  <c r="AY518" s="1"/>
  <c r="BD518"/>
  <c r="BG518"/>
  <c r="BH518"/>
  <c r="BP518"/>
  <c r="BQ518"/>
  <c r="Y519"/>
  <c r="AY519" s="1"/>
  <c r="BD519"/>
  <c r="BG519"/>
  <c r="BH519"/>
  <c r="BP519"/>
  <c r="BQ519"/>
  <c r="Y520"/>
  <c r="AY520" s="1"/>
  <c r="BD520"/>
  <c r="BG520"/>
  <c r="BH520"/>
  <c r="BP520"/>
  <c r="BQ520"/>
  <c r="Y521"/>
  <c r="AY521" s="1"/>
  <c r="BD521"/>
  <c r="BG521"/>
  <c r="BH521"/>
  <c r="BP521"/>
  <c r="BQ521"/>
  <c r="Y522"/>
  <c r="AY522" s="1"/>
  <c r="BD522"/>
  <c r="BG522"/>
  <c r="BH522"/>
  <c r="BP522"/>
  <c r="BQ522"/>
  <c r="Y523"/>
  <c r="AY523" s="1"/>
  <c r="BD523"/>
  <c r="BG523"/>
  <c r="BH523"/>
  <c r="BP523"/>
  <c r="BQ523"/>
  <c r="Y524"/>
  <c r="AY524" s="1"/>
  <c r="BD524"/>
  <c r="BG524"/>
  <c r="BH524"/>
  <c r="BP524"/>
  <c r="BQ524"/>
  <c r="Y525"/>
  <c r="BK525" s="1"/>
  <c r="BD525"/>
  <c r="BG525"/>
  <c r="BH525"/>
  <c r="BP525"/>
  <c r="BQ525"/>
  <c r="Y526"/>
  <c r="AY526" s="1"/>
  <c r="BD526"/>
  <c r="BG526"/>
  <c r="BH526"/>
  <c r="BP526"/>
  <c r="BQ526"/>
  <c r="Y527"/>
  <c r="AY527" s="1"/>
  <c r="BD527"/>
  <c r="BG527"/>
  <c r="BH527"/>
  <c r="BP527"/>
  <c r="BQ527"/>
  <c r="Y528"/>
  <c r="AY528" s="1"/>
  <c r="BD528"/>
  <c r="BG528"/>
  <c r="BH528"/>
  <c r="BP528"/>
  <c r="BQ528"/>
  <c r="Y529"/>
  <c r="AY529" s="1"/>
  <c r="BD529"/>
  <c r="BG529"/>
  <c r="BH529"/>
  <c r="BP529"/>
  <c r="BQ529"/>
  <c r="Y530"/>
  <c r="AY530" s="1"/>
  <c r="BD530"/>
  <c r="BG530"/>
  <c r="BH530"/>
  <c r="BP530"/>
  <c r="BQ530"/>
  <c r="Y532"/>
  <c r="AY532" s="1"/>
  <c r="BD532"/>
  <c r="BG532"/>
  <c r="BH532"/>
  <c r="BP532"/>
  <c r="BQ532"/>
  <c r="Y533"/>
  <c r="AY533" s="1"/>
  <c r="BD533"/>
  <c r="BG533"/>
  <c r="BH533"/>
  <c r="BP533"/>
  <c r="BQ533"/>
  <c r="Y535"/>
  <c r="BK535" s="1"/>
  <c r="BD535"/>
  <c r="BG535"/>
  <c r="BH535"/>
  <c r="BP535"/>
  <c r="BQ535"/>
  <c r="Y536"/>
  <c r="AY536" s="1"/>
  <c r="BD536"/>
  <c r="BG536"/>
  <c r="BH536"/>
  <c r="BP536"/>
  <c r="BQ536"/>
  <c r="Y537"/>
  <c r="AY537" s="1"/>
  <c r="BD537"/>
  <c r="BG537"/>
  <c r="BH537"/>
  <c r="BP537"/>
  <c r="BQ537"/>
  <c r="Y538"/>
  <c r="AY538" s="1"/>
  <c r="BD538"/>
  <c r="BG538"/>
  <c r="BH538"/>
  <c r="BP538"/>
  <c r="BQ538"/>
  <c r="Y539"/>
  <c r="BK539" s="1"/>
  <c r="BD539"/>
  <c r="BG539"/>
  <c r="BH539"/>
  <c r="BP539"/>
  <c r="BQ539"/>
  <c r="Y541"/>
  <c r="BK541" s="1"/>
  <c r="BD541"/>
  <c r="BG541"/>
  <c r="BH541"/>
  <c r="BP541"/>
  <c r="BQ541"/>
  <c r="Y138"/>
  <c r="AY138" s="1"/>
  <c r="BG138"/>
  <c r="BH138"/>
  <c r="BI138"/>
  <c r="BJ138"/>
  <c r="BP138"/>
  <c r="BQ138"/>
  <c r="Y542"/>
  <c r="AY542" s="1"/>
  <c r="BD542"/>
  <c r="BG542"/>
  <c r="BH542"/>
  <c r="BP542"/>
  <c r="BQ542"/>
  <c r="Y543"/>
  <c r="AY543" s="1"/>
  <c r="BD543"/>
  <c r="BG543"/>
  <c r="BH543"/>
  <c r="BP543"/>
  <c r="BQ543"/>
  <c r="Y544"/>
  <c r="AY544" s="1"/>
  <c r="BD544"/>
  <c r="BG544"/>
  <c r="BH544"/>
  <c r="BP544"/>
  <c r="BQ544"/>
  <c r="Y545"/>
  <c r="AY545" s="1"/>
  <c r="BD545"/>
  <c r="BG545"/>
  <c r="BH545"/>
  <c r="BP545"/>
  <c r="BQ545"/>
  <c r="Y546"/>
  <c r="AY546" s="1"/>
  <c r="BD546"/>
  <c r="BG546"/>
  <c r="BH546"/>
  <c r="BP546"/>
  <c r="BQ546"/>
  <c r="Y140"/>
  <c r="AY140" s="1"/>
  <c r="BG140"/>
  <c r="BH140"/>
  <c r="BI140"/>
  <c r="BJ140"/>
  <c r="BP140"/>
  <c r="BQ140"/>
  <c r="Y547"/>
  <c r="AY547" s="1"/>
  <c r="BD547"/>
  <c r="BG547"/>
  <c r="BH547"/>
  <c r="BP547"/>
  <c r="BQ547"/>
  <c r="Y548"/>
  <c r="BK548" s="1"/>
  <c r="BD548"/>
  <c r="BG548"/>
  <c r="BH548"/>
  <c r="BP548"/>
  <c r="BQ548"/>
  <c r="Y549"/>
  <c r="AY549" s="1"/>
  <c r="BD549"/>
  <c r="BG549"/>
  <c r="BH549"/>
  <c r="BP549"/>
  <c r="BQ549"/>
  <c r="Y550"/>
  <c r="AY550" s="1"/>
  <c r="BD550"/>
  <c r="BG550"/>
  <c r="BH550"/>
  <c r="BP550"/>
  <c r="BQ550"/>
  <c r="Y551"/>
  <c r="AY551" s="1"/>
  <c r="BD551"/>
  <c r="BG551"/>
  <c r="BH551"/>
  <c r="BP551"/>
  <c r="BQ551"/>
  <c r="Y552"/>
  <c r="BK552" s="1"/>
  <c r="BD552"/>
  <c r="BG552"/>
  <c r="BH552"/>
  <c r="BP552"/>
  <c r="BQ552"/>
  <c r="Y554"/>
  <c r="BK554" s="1"/>
  <c r="BD554"/>
  <c r="BG554"/>
  <c r="BH554"/>
  <c r="BP554"/>
  <c r="BQ554"/>
  <c r="Y556"/>
  <c r="AY556" s="1"/>
  <c r="BD556"/>
  <c r="BG556"/>
  <c r="BH556"/>
  <c r="BP556"/>
  <c r="BQ556"/>
  <c r="Y558"/>
  <c r="AY558" s="1"/>
  <c r="BD558"/>
  <c r="BG558"/>
  <c r="BH558"/>
  <c r="BP558"/>
  <c r="BQ558"/>
  <c r="Y560"/>
  <c r="BK560" s="1"/>
  <c r="BD560"/>
  <c r="BG560"/>
  <c r="BH560"/>
  <c r="BP560"/>
  <c r="BQ560"/>
  <c r="Y561"/>
  <c r="AY561" s="1"/>
  <c r="BD561"/>
  <c r="BG561"/>
  <c r="BH561"/>
  <c r="BP561"/>
  <c r="BQ561"/>
  <c r="Y562"/>
  <c r="AY562" s="1"/>
  <c r="BD562"/>
  <c r="BG562"/>
  <c r="BH562"/>
  <c r="BP562"/>
  <c r="BQ562"/>
  <c r="Y563"/>
  <c r="AY563" s="1"/>
  <c r="BD563"/>
  <c r="BG563"/>
  <c r="BH563"/>
  <c r="BP563"/>
  <c r="BQ563"/>
  <c r="Y564"/>
  <c r="AY564" s="1"/>
  <c r="BD564"/>
  <c r="BG564"/>
  <c r="BH564"/>
  <c r="BP564"/>
  <c r="BQ564"/>
  <c r="Y566"/>
  <c r="AY566" s="1"/>
  <c r="BD566"/>
  <c r="BG566"/>
  <c r="BH566"/>
  <c r="BP566"/>
  <c r="BQ566"/>
  <c r="Y144"/>
  <c r="AY144" s="1"/>
  <c r="BG144"/>
  <c r="BH144"/>
  <c r="BI144"/>
  <c r="BJ144"/>
  <c r="BP144"/>
  <c r="BQ144"/>
  <c r="Y567"/>
  <c r="BK567" s="1"/>
  <c r="BD567"/>
  <c r="BG567"/>
  <c r="BH567"/>
  <c r="BP567"/>
  <c r="BQ567"/>
  <c r="Y570"/>
  <c r="AY570" s="1"/>
  <c r="BD570"/>
  <c r="BG570"/>
  <c r="BH570"/>
  <c r="BP570"/>
  <c r="BQ570"/>
  <c r="Y149"/>
  <c r="AY149" s="1"/>
  <c r="BG149"/>
  <c r="BH149"/>
  <c r="BI149"/>
  <c r="BJ149"/>
  <c r="BP149"/>
  <c r="BQ149"/>
  <c r="Y573"/>
  <c r="BK573" s="1"/>
  <c r="BD573"/>
  <c r="BG573"/>
  <c r="BH573"/>
  <c r="BP573"/>
  <c r="BQ573"/>
  <c r="Y574"/>
  <c r="BK574" s="1"/>
  <c r="BD574"/>
  <c r="BG574"/>
  <c r="BH574"/>
  <c r="BP574"/>
  <c r="BQ574"/>
  <c r="Y575"/>
  <c r="AY575" s="1"/>
  <c r="BD575"/>
  <c r="BG575"/>
  <c r="BH575"/>
  <c r="BP575"/>
  <c r="BQ575"/>
  <c r="Y576"/>
  <c r="AY576" s="1"/>
  <c r="BD576"/>
  <c r="BG576"/>
  <c r="BH576"/>
  <c r="BP576"/>
  <c r="BQ576"/>
  <c r="Y152"/>
  <c r="AY152" s="1"/>
  <c r="BG152"/>
  <c r="BH152"/>
  <c r="BI152"/>
  <c r="BJ152"/>
  <c r="BP152"/>
  <c r="BQ152"/>
  <c r="Y153"/>
  <c r="AY153" s="1"/>
  <c r="BG153"/>
  <c r="BH153"/>
  <c r="BI153"/>
  <c r="BJ153"/>
  <c r="BP153"/>
  <c r="BQ153"/>
  <c r="Y577"/>
  <c r="BK577" s="1"/>
  <c r="BD577"/>
  <c r="BG577"/>
  <c r="BH577"/>
  <c r="BP577"/>
  <c r="BQ577"/>
  <c r="Y578"/>
  <c r="BK578" s="1"/>
  <c r="BD578"/>
  <c r="BG578"/>
  <c r="BH578"/>
  <c r="BP578"/>
  <c r="BQ578"/>
  <c r="Y579"/>
  <c r="AY579" s="1"/>
  <c r="BD579"/>
  <c r="BG579"/>
  <c r="BH579"/>
  <c r="BP579"/>
  <c r="BQ579"/>
  <c r="Y580"/>
  <c r="AY580" s="1"/>
  <c r="BD580"/>
  <c r="BG580"/>
  <c r="BH580"/>
  <c r="BP580"/>
  <c r="BQ580"/>
  <c r="Y581"/>
  <c r="BK581" s="1"/>
  <c r="BD581"/>
  <c r="BG581"/>
  <c r="BH581"/>
  <c r="BP581"/>
  <c r="BQ581"/>
  <c r="Y156"/>
  <c r="BK156" s="1"/>
  <c r="BG156"/>
  <c r="BH156"/>
  <c r="BI156"/>
  <c r="BJ156"/>
  <c r="BP156"/>
  <c r="BQ156"/>
  <c r="Y582"/>
  <c r="AY582" s="1"/>
  <c r="BD582"/>
  <c r="BG582"/>
  <c r="BH582"/>
  <c r="BP582"/>
  <c r="BQ582"/>
  <c r="Y583"/>
  <c r="BK583" s="1"/>
  <c r="BD583"/>
  <c r="BG583"/>
  <c r="BH583"/>
  <c r="BP583"/>
  <c r="BQ583"/>
  <c r="Y584"/>
  <c r="BK584" s="1"/>
  <c r="BD584"/>
  <c r="BG584"/>
  <c r="BH584"/>
  <c r="BP584"/>
  <c r="BQ584"/>
  <c r="Y585"/>
  <c r="AY585" s="1"/>
  <c r="BD585"/>
  <c r="BG585"/>
  <c r="BH585"/>
  <c r="BP585"/>
  <c r="BQ585"/>
  <c r="Y587"/>
  <c r="AY587" s="1"/>
  <c r="BD587"/>
  <c r="BG587"/>
  <c r="BH587"/>
  <c r="BP587"/>
  <c r="BQ587"/>
  <c r="Y588"/>
  <c r="BK588" s="1"/>
  <c r="BD588"/>
  <c r="BG588"/>
  <c r="BH588"/>
  <c r="BP588"/>
  <c r="BQ588"/>
  <c r="Y589"/>
  <c r="AY589" s="1"/>
  <c r="BD589"/>
  <c r="BG589"/>
  <c r="BH589"/>
  <c r="BP589"/>
  <c r="BQ589"/>
  <c r="Y590"/>
  <c r="AY590" s="1"/>
  <c r="BD590"/>
  <c r="BG590"/>
  <c r="BH590"/>
  <c r="BP590"/>
  <c r="BQ590"/>
  <c r="Y591"/>
  <c r="AY591" s="1"/>
  <c r="BD591"/>
  <c r="BG591"/>
  <c r="BH591"/>
  <c r="BP591"/>
  <c r="BQ591"/>
  <c r="Y161"/>
  <c r="BK161" s="1"/>
  <c r="BG161"/>
  <c r="BH161"/>
  <c r="BI161"/>
  <c r="BJ161"/>
  <c r="BP161"/>
  <c r="BQ161"/>
  <c r="Y592"/>
  <c r="AY592" s="1"/>
  <c r="BD592"/>
  <c r="BG592"/>
  <c r="BH592"/>
  <c r="BP592"/>
  <c r="BQ592"/>
  <c r="Y593"/>
  <c r="AY593" s="1"/>
  <c r="BD593"/>
  <c r="BG593"/>
  <c r="BH593"/>
  <c r="BP593"/>
  <c r="BQ593"/>
  <c r="Y594"/>
  <c r="AY594" s="1"/>
  <c r="BD594"/>
  <c r="BG594"/>
  <c r="BH594"/>
  <c r="BP594"/>
  <c r="BQ594"/>
  <c r="Y595"/>
  <c r="AY595" s="1"/>
  <c r="BD595"/>
  <c r="BG595"/>
  <c r="BH595"/>
  <c r="BP595"/>
  <c r="BQ595"/>
  <c r="Y596"/>
  <c r="AY596" s="1"/>
  <c r="BD596"/>
  <c r="BG596"/>
  <c r="BH596"/>
  <c r="BP596"/>
  <c r="BQ596"/>
  <c r="Y200"/>
  <c r="AY200" s="1"/>
  <c r="BA200"/>
  <c r="BG200"/>
  <c r="BH200"/>
  <c r="BP200"/>
  <c r="BQ200"/>
  <c r="Y213"/>
  <c r="AY213" s="1"/>
  <c r="BG213"/>
  <c r="BH213"/>
  <c r="BP213"/>
  <c r="BQ213"/>
  <c r="Y130"/>
  <c r="BK130" s="1"/>
  <c r="AG130"/>
  <c r="BG130"/>
  <c r="BH130"/>
  <c r="BI130"/>
  <c r="BJ130"/>
  <c r="BP130"/>
  <c r="BQ130"/>
  <c r="Y158"/>
  <c r="AY158" s="1"/>
  <c r="BA158"/>
  <c r="AZ158"/>
  <c r="BG158"/>
  <c r="BH158"/>
  <c r="BI158"/>
  <c r="BJ158"/>
  <c r="BP158"/>
  <c r="BQ158"/>
  <c r="Y33"/>
  <c r="BK33" s="1"/>
  <c r="AG33"/>
  <c r="BG33"/>
  <c r="BH33"/>
  <c r="BI33"/>
  <c r="BJ33"/>
  <c r="BP33"/>
  <c r="BQ33"/>
  <c r="Y97"/>
  <c r="BK97" s="1"/>
  <c r="BA97"/>
  <c r="AZ97"/>
  <c r="BG97"/>
  <c r="BH97"/>
  <c r="BI97"/>
  <c r="BJ97"/>
  <c r="BP97"/>
  <c r="BQ97"/>
  <c r="Y348"/>
  <c r="AY348" s="1"/>
  <c r="BG348"/>
  <c r="BH348"/>
  <c r="BP348"/>
  <c r="BQ348"/>
  <c r="Y146"/>
  <c r="BK146" s="1"/>
  <c r="BA146"/>
  <c r="AZ146"/>
  <c r="BG146"/>
  <c r="BH146"/>
  <c r="BI146"/>
  <c r="BJ146"/>
  <c r="BP146"/>
  <c r="BQ146"/>
  <c r="BK88"/>
  <c r="AG88"/>
  <c r="BG88"/>
  <c r="BH88"/>
  <c r="BI88"/>
  <c r="BJ88"/>
  <c r="BP88"/>
  <c r="BQ88"/>
  <c r="Y116"/>
  <c r="AA116"/>
  <c r="AV116"/>
  <c r="BP116" s="1"/>
  <c r="AW116"/>
  <c r="BG116"/>
  <c r="BH116"/>
  <c r="BJ116"/>
  <c r="BQ116"/>
  <c r="Y159"/>
  <c r="AY159" s="1"/>
  <c r="AG159"/>
  <c r="AZ159"/>
  <c r="BG159"/>
  <c r="BH159"/>
  <c r="BI159"/>
  <c r="BJ159"/>
  <c r="BP159"/>
  <c r="BQ159"/>
  <c r="Y75"/>
  <c r="AY75" s="1"/>
  <c r="AG75"/>
  <c r="BG75"/>
  <c r="BH75"/>
  <c r="BI75"/>
  <c r="BJ75"/>
  <c r="BP75"/>
  <c r="BQ75"/>
  <c r="Y48"/>
  <c r="AY48" s="1"/>
  <c r="AG48"/>
  <c r="BG48"/>
  <c r="BH48"/>
  <c r="BI48"/>
  <c r="BJ48"/>
  <c r="BP48"/>
  <c r="BQ48"/>
  <c r="Y263"/>
  <c r="AY263" s="1"/>
  <c r="BA263"/>
  <c r="AZ263"/>
  <c r="BG263"/>
  <c r="BH263"/>
  <c r="BP263"/>
  <c r="BQ263"/>
  <c r="Y74"/>
  <c r="BK74" s="1"/>
  <c r="AG74"/>
  <c r="BG74"/>
  <c r="BH74"/>
  <c r="BI74"/>
  <c r="BJ74"/>
  <c r="BP74"/>
  <c r="BQ74"/>
  <c r="Y91"/>
  <c r="BK91" s="1"/>
  <c r="BA91"/>
  <c r="AZ91"/>
  <c r="BG91"/>
  <c r="BH91"/>
  <c r="BI91"/>
  <c r="BJ91"/>
  <c r="BP91"/>
  <c r="BQ91"/>
  <c r="Y82"/>
  <c r="AY82" s="1"/>
  <c r="BA82"/>
  <c r="AZ82"/>
  <c r="BG82"/>
  <c r="BH82"/>
  <c r="BI82"/>
  <c r="BJ82"/>
  <c r="BP82"/>
  <c r="BQ82"/>
  <c r="Y35"/>
  <c r="AY35" s="1"/>
  <c r="AG35"/>
  <c r="BG35"/>
  <c r="BH35"/>
  <c r="BI35"/>
  <c r="BJ35"/>
  <c r="BP35"/>
  <c r="BQ35"/>
  <c r="Y8"/>
  <c r="BK8" s="1"/>
  <c r="BA8"/>
  <c r="AZ8"/>
  <c r="BG8"/>
  <c r="BH8"/>
  <c r="BI8"/>
  <c r="BJ8"/>
  <c r="BP8"/>
  <c r="BQ8"/>
  <c r="Y99"/>
  <c r="BK99" s="1"/>
  <c r="AG99"/>
  <c r="BG99"/>
  <c r="BH99"/>
  <c r="BI99"/>
  <c r="BJ99"/>
  <c r="BP99"/>
  <c r="Y135"/>
  <c r="BK135" s="1"/>
  <c r="BA135"/>
  <c r="BG135"/>
  <c r="BH135"/>
  <c r="BI135"/>
  <c r="BJ135"/>
  <c r="BP135"/>
  <c r="BQ135"/>
  <c r="Y129"/>
  <c r="BK129" s="1"/>
  <c r="BG129"/>
  <c r="BH129"/>
  <c r="BI129"/>
  <c r="BJ129"/>
  <c r="BP129"/>
  <c r="BQ129"/>
  <c r="Y100"/>
  <c r="AY100" s="1"/>
  <c r="AG100"/>
  <c r="BG100"/>
  <c r="BH100"/>
  <c r="BI100"/>
  <c r="BJ100"/>
  <c r="BP100"/>
  <c r="BQ100"/>
  <c r="Y131"/>
  <c r="BK131" s="1"/>
  <c r="BG131"/>
  <c r="BH131"/>
  <c r="BI131"/>
  <c r="BJ131"/>
  <c r="BP131"/>
  <c r="BQ131"/>
  <c r="Y6"/>
  <c r="AY6" s="1"/>
  <c r="BA6"/>
  <c r="AZ6"/>
  <c r="BG6"/>
  <c r="BH6"/>
  <c r="BI6"/>
  <c r="BJ6"/>
  <c r="BP6"/>
  <c r="BQ6"/>
  <c r="Y109"/>
  <c r="BK109" s="1"/>
  <c r="BA109"/>
  <c r="BG109"/>
  <c r="BH109"/>
  <c r="BI109"/>
  <c r="BJ109"/>
  <c r="BP109"/>
  <c r="BQ109"/>
  <c r="Y26"/>
  <c r="BK26" s="1"/>
  <c r="AV26"/>
  <c r="BP26" s="1"/>
  <c r="AZ26"/>
  <c r="BG26"/>
  <c r="BH26"/>
  <c r="BI26"/>
  <c r="BJ26"/>
  <c r="BQ26"/>
  <c r="Y83"/>
  <c r="AY83" s="1"/>
  <c r="BA83"/>
  <c r="BG83"/>
  <c r="BH83"/>
  <c r="BI83"/>
  <c r="BJ83"/>
  <c r="BP83"/>
  <c r="BQ83"/>
  <c r="Y123"/>
  <c r="AV123"/>
  <c r="BA123" s="1"/>
  <c r="AZ123"/>
  <c r="BG123"/>
  <c r="BH123"/>
  <c r="BI123"/>
  <c r="BJ123"/>
  <c r="BQ123"/>
  <c r="Y67"/>
  <c r="AA67"/>
  <c r="AW67"/>
  <c r="BG67"/>
  <c r="BH67"/>
  <c r="BI67"/>
  <c r="BJ67"/>
  <c r="BP67"/>
  <c r="BQ67"/>
  <c r="Y125"/>
  <c r="BK125" s="1"/>
  <c r="AG125"/>
  <c r="BG125"/>
  <c r="BH125"/>
  <c r="BI125"/>
  <c r="BJ125"/>
  <c r="BP125"/>
  <c r="BQ125"/>
  <c r="Y7"/>
  <c r="BK7" s="1"/>
  <c r="AV7"/>
  <c r="BA7" s="1"/>
  <c r="AZ7"/>
  <c r="BG7"/>
  <c r="BH7"/>
  <c r="BI7"/>
  <c r="BJ7"/>
  <c r="T9"/>
  <c r="Y9" s="1"/>
  <c r="BK9" s="1"/>
  <c r="AP600"/>
  <c r="AQ600"/>
  <c r="AS600"/>
  <c r="AV9"/>
  <c r="BP9" s="1"/>
  <c r="AZ9"/>
  <c r="BG9"/>
  <c r="BH9"/>
  <c r="BJ9"/>
  <c r="BQ9"/>
  <c r="Y151"/>
  <c r="BK151" s="1"/>
  <c r="AA151"/>
  <c r="AW151"/>
  <c r="BG151"/>
  <c r="BH151"/>
  <c r="BI151"/>
  <c r="BJ151"/>
  <c r="BP151"/>
  <c r="BQ151"/>
  <c r="Y56"/>
  <c r="BK56" s="1"/>
  <c r="AA56"/>
  <c r="BG56"/>
  <c r="BH56"/>
  <c r="BI56"/>
  <c r="BJ56"/>
  <c r="BP56"/>
  <c r="Y124"/>
  <c r="BK124" s="1"/>
  <c r="BA124"/>
  <c r="AZ124"/>
  <c r="BG124"/>
  <c r="BH124"/>
  <c r="BI124"/>
  <c r="BJ124"/>
  <c r="BP124"/>
  <c r="BQ124"/>
  <c r="Y84"/>
  <c r="BK84" s="1"/>
  <c r="AA84"/>
  <c r="AW84"/>
  <c r="BG84"/>
  <c r="BH84"/>
  <c r="BI84"/>
  <c r="BJ84"/>
  <c r="BP84"/>
  <c r="BQ84"/>
  <c r="Y361"/>
  <c r="AX361"/>
  <c r="BG361"/>
  <c r="BH361"/>
  <c r="BP361"/>
  <c r="Y5"/>
  <c r="BK5" s="1"/>
  <c r="AV5"/>
  <c r="AZ5"/>
  <c r="BG5"/>
  <c r="BH5"/>
  <c r="BJ5"/>
  <c r="BQ5"/>
  <c r="Y134"/>
  <c r="BA134"/>
  <c r="BG134"/>
  <c r="BH134"/>
  <c r="BI134"/>
  <c r="BJ134"/>
  <c r="BP134"/>
  <c r="Y145"/>
  <c r="BK145" s="1"/>
  <c r="BA145"/>
  <c r="AX145"/>
  <c r="BQ145" s="1"/>
  <c r="BG145"/>
  <c r="BH145"/>
  <c r="BI145"/>
  <c r="BJ145"/>
  <c r="BP145"/>
  <c r="Y4"/>
  <c r="AY4" s="1"/>
  <c r="BA4"/>
  <c r="AZ4"/>
  <c r="BG4"/>
  <c r="BH4"/>
  <c r="BI4"/>
  <c r="BJ4"/>
  <c r="BP4"/>
  <c r="BQ4"/>
  <c r="Y87"/>
  <c r="BK87" s="1"/>
  <c r="AV87"/>
  <c r="BA87" s="1"/>
  <c r="BG87"/>
  <c r="BH87"/>
  <c r="BI87"/>
  <c r="BJ87"/>
  <c r="BQ87"/>
  <c r="Y164"/>
  <c r="BK164" s="1"/>
  <c r="AV164"/>
  <c r="BA164" s="1"/>
  <c r="AZ164"/>
  <c r="BG164"/>
  <c r="BH164"/>
  <c r="BJ164"/>
  <c r="BQ164"/>
  <c r="Y25"/>
  <c r="BK25" s="1"/>
  <c r="BA25"/>
  <c r="BG25"/>
  <c r="BH25"/>
  <c r="BI25"/>
  <c r="BJ25"/>
  <c r="BP25"/>
  <c r="BQ25"/>
  <c r="Y132"/>
  <c r="BK132" s="1"/>
  <c r="AA132"/>
  <c r="BG132"/>
  <c r="BH132"/>
  <c r="BI132"/>
  <c r="BJ132"/>
  <c r="BP132"/>
  <c r="BQ132"/>
  <c r="Y222"/>
  <c r="AX222"/>
  <c r="BQ222" s="1"/>
  <c r="BG222"/>
  <c r="BH222"/>
  <c r="BP222"/>
  <c r="BA114"/>
  <c r="BG114"/>
  <c r="BH114"/>
  <c r="BI114"/>
  <c r="BP114"/>
  <c r="Y166"/>
  <c r="BK166" s="1"/>
  <c r="BA166"/>
  <c r="BG166"/>
  <c r="BH166"/>
  <c r="BI166"/>
  <c r="BJ166"/>
  <c r="BP166"/>
  <c r="BQ166"/>
  <c r="BR166"/>
  <c r="BR600" s="1"/>
  <c r="Y112"/>
  <c r="BK112" s="1"/>
  <c r="BG112"/>
  <c r="BH112"/>
  <c r="BI112"/>
  <c r="BJ112"/>
  <c r="BP112"/>
  <c r="BQ112"/>
  <c r="Y387"/>
  <c r="AY387" s="1"/>
  <c r="AA387"/>
  <c r="BG387"/>
  <c r="BH387"/>
  <c r="BP387"/>
  <c r="BQ387"/>
  <c r="AL598"/>
  <c r="S600"/>
  <c r="V600"/>
  <c r="X600"/>
  <c r="Z600"/>
  <c r="AB600"/>
  <c r="AC600"/>
  <c r="AH600"/>
  <c r="AI600"/>
  <c r="AJ600"/>
  <c r="AK600"/>
  <c r="AO600"/>
  <c r="BF600"/>
  <c r="BL600"/>
  <c r="BM600"/>
  <c r="BN600"/>
  <c r="BO600"/>
  <c r="S602"/>
  <c r="V602"/>
  <c r="W602"/>
  <c r="X602"/>
  <c r="Z602"/>
  <c r="AB602"/>
  <c r="AC602"/>
  <c r="AH602"/>
  <c r="AI602"/>
  <c r="AJ602"/>
  <c r="AK602"/>
  <c r="AO602"/>
  <c r="BF602"/>
  <c r="BL602"/>
  <c r="BM602"/>
  <c r="BN602"/>
  <c r="BO602"/>
  <c r="O40" i="3"/>
  <c r="O38"/>
  <c r="O36"/>
  <c r="I32" i="6"/>
  <c r="E32"/>
  <c r="E31"/>
  <c r="E27"/>
  <c r="E21" i="5"/>
  <c r="I21"/>
  <c r="K17" i="4"/>
  <c r="K20"/>
  <c r="U5"/>
  <c r="T20"/>
  <c r="G20"/>
  <c r="O20"/>
  <c r="O19"/>
  <c r="G19"/>
  <c r="C20"/>
  <c r="O14" i="3"/>
  <c r="AO7" i="5"/>
  <c r="N14" i="3"/>
  <c r="BP5" i="8" l="1"/>
  <c r="AV600"/>
  <c r="BC589"/>
  <c r="BB589"/>
  <c r="BC584"/>
  <c r="BB584"/>
  <c r="BC546"/>
  <c r="BB546"/>
  <c r="BC542"/>
  <c r="BB542"/>
  <c r="BC441"/>
  <c r="BB441"/>
  <c r="BC436"/>
  <c r="BB436"/>
  <c r="BC423"/>
  <c r="BB423"/>
  <c r="BC416"/>
  <c r="BB416"/>
  <c r="BC397"/>
  <c r="BB397"/>
  <c r="BC390"/>
  <c r="BB390"/>
  <c r="BC385"/>
  <c r="BB385"/>
  <c r="BC381"/>
  <c r="BB381"/>
  <c r="BC377"/>
  <c r="BB377"/>
  <c r="BC373"/>
  <c r="BB373"/>
  <c r="BC360"/>
  <c r="BB360"/>
  <c r="BC355"/>
  <c r="BB355"/>
  <c r="BC351"/>
  <c r="BB351"/>
  <c r="BC346"/>
  <c r="BB346"/>
  <c r="BC342"/>
  <c r="BB342"/>
  <c r="BC337"/>
  <c r="BB337"/>
  <c r="BC333"/>
  <c r="BB333"/>
  <c r="BC318"/>
  <c r="BB318"/>
  <c r="BC300"/>
  <c r="BB300"/>
  <c r="BC296"/>
  <c r="BB296"/>
  <c r="BC292"/>
  <c r="BB292"/>
  <c r="BC271"/>
  <c r="BB271"/>
  <c r="BC265"/>
  <c r="BB265"/>
  <c r="BC261"/>
  <c r="BB261"/>
  <c r="BC242"/>
  <c r="BB242"/>
  <c r="BC228"/>
  <c r="BB228"/>
  <c r="BC224"/>
  <c r="BB224"/>
  <c r="BC217"/>
  <c r="BB217"/>
  <c r="BC209"/>
  <c r="BB209"/>
  <c r="BC205"/>
  <c r="BB205"/>
  <c r="BC174"/>
  <c r="BB174"/>
  <c r="BC168"/>
  <c r="BB168"/>
  <c r="BC586"/>
  <c r="BB586"/>
  <c r="BC234"/>
  <c r="BB234"/>
  <c r="BC203"/>
  <c r="BB203"/>
  <c r="BC315"/>
  <c r="BB315"/>
  <c r="BC596"/>
  <c r="BB596"/>
  <c r="BC592"/>
  <c r="BB592"/>
  <c r="BC580"/>
  <c r="BB580"/>
  <c r="BC573"/>
  <c r="BB573"/>
  <c r="BC566"/>
  <c r="BB566"/>
  <c r="BC561"/>
  <c r="BB561"/>
  <c r="BC554"/>
  <c r="BB554"/>
  <c r="BC549"/>
  <c r="BB549"/>
  <c r="BC537"/>
  <c r="BB537"/>
  <c r="BC532"/>
  <c r="BB532"/>
  <c r="BC527"/>
  <c r="BB527"/>
  <c r="BC523"/>
  <c r="BB523"/>
  <c r="BC519"/>
  <c r="BB519"/>
  <c r="BC515"/>
  <c r="BB515"/>
  <c r="BC511"/>
  <c r="BB511"/>
  <c r="BC507"/>
  <c r="BB507"/>
  <c r="BC503"/>
  <c r="BB503"/>
  <c r="BC499"/>
  <c r="BB499"/>
  <c r="BC495"/>
  <c r="BB495"/>
  <c r="BC489"/>
  <c r="BB489"/>
  <c r="BC485"/>
  <c r="BB485"/>
  <c r="BC481"/>
  <c r="BB481"/>
  <c r="BC476"/>
  <c r="BB476"/>
  <c r="BC472"/>
  <c r="BB472"/>
  <c r="BC467"/>
  <c r="BB467"/>
  <c r="BC463"/>
  <c r="BB463"/>
  <c r="BC459"/>
  <c r="BB459"/>
  <c r="BC454"/>
  <c r="BB454"/>
  <c r="BC450"/>
  <c r="BB450"/>
  <c r="BC444"/>
  <c r="BB444"/>
  <c r="BC430"/>
  <c r="BB430"/>
  <c r="BC419"/>
  <c r="BB419"/>
  <c r="BC412"/>
  <c r="BB412"/>
  <c r="BC404"/>
  <c r="BB404"/>
  <c r="BC399"/>
  <c r="BB399"/>
  <c r="BC393"/>
  <c r="BB393"/>
  <c r="BC326"/>
  <c r="BB326"/>
  <c r="BC321"/>
  <c r="BB321"/>
  <c r="BC312"/>
  <c r="BB312"/>
  <c r="BC308"/>
  <c r="BB308"/>
  <c r="BC303"/>
  <c r="BB303"/>
  <c r="BC287"/>
  <c r="BB287"/>
  <c r="BC279"/>
  <c r="BB279"/>
  <c r="BC274"/>
  <c r="BB274"/>
  <c r="BC253"/>
  <c r="BB253"/>
  <c r="BC249"/>
  <c r="BB249"/>
  <c r="BC245"/>
  <c r="BB245"/>
  <c r="BC194"/>
  <c r="BB194"/>
  <c r="BC190"/>
  <c r="BB190"/>
  <c r="BC186"/>
  <c r="BB186"/>
  <c r="BC365"/>
  <c r="BB365"/>
  <c r="BC325"/>
  <c r="BB325"/>
  <c r="BC569"/>
  <c r="BB569"/>
  <c r="BC571"/>
  <c r="BB571"/>
  <c r="BC445"/>
  <c r="BB445"/>
  <c r="BC197"/>
  <c r="BB197"/>
  <c r="BC431"/>
  <c r="BB431"/>
  <c r="BC184"/>
  <c r="BB184"/>
  <c r="BC433"/>
  <c r="BB433"/>
  <c r="BC270"/>
  <c r="BB270"/>
  <c r="BD267"/>
  <c r="BC588"/>
  <c r="BB588"/>
  <c r="BC583"/>
  <c r="BB583"/>
  <c r="BC545"/>
  <c r="BB545"/>
  <c r="BC439"/>
  <c r="BB439"/>
  <c r="BC435"/>
  <c r="BB435"/>
  <c r="BC426"/>
  <c r="BB426"/>
  <c r="BC422"/>
  <c r="BB422"/>
  <c r="BC408"/>
  <c r="BB408"/>
  <c r="BC389"/>
  <c r="BB389"/>
  <c r="BC384"/>
  <c r="BB384"/>
  <c r="BC380"/>
  <c r="BB380"/>
  <c r="BC376"/>
  <c r="BB376"/>
  <c r="BC366"/>
  <c r="BB366"/>
  <c r="BC359"/>
  <c r="BB359"/>
  <c r="BC354"/>
  <c r="BB354"/>
  <c r="BC350"/>
  <c r="BB350"/>
  <c r="BC345"/>
  <c r="BB345"/>
  <c r="BC340"/>
  <c r="BB340"/>
  <c r="BC336"/>
  <c r="BB336"/>
  <c r="BC317"/>
  <c r="BB317"/>
  <c r="BC299"/>
  <c r="BB299"/>
  <c r="BC295"/>
  <c r="BB295"/>
  <c r="BC291"/>
  <c r="BB291"/>
  <c r="BC269"/>
  <c r="BB269"/>
  <c r="BC264"/>
  <c r="BB264"/>
  <c r="BC260"/>
  <c r="BB260"/>
  <c r="BC235"/>
  <c r="BB235"/>
  <c r="BC227"/>
  <c r="BB227"/>
  <c r="BC223"/>
  <c r="BB223"/>
  <c r="BC216"/>
  <c r="BB216"/>
  <c r="BC208"/>
  <c r="BB208"/>
  <c r="BC204"/>
  <c r="BB204"/>
  <c r="BC201"/>
  <c r="BB201"/>
  <c r="BC181"/>
  <c r="BB181"/>
  <c r="BC172"/>
  <c r="BB172"/>
  <c r="BC167"/>
  <c r="BB167"/>
  <c r="BC372"/>
  <c r="BB372"/>
  <c r="BC211"/>
  <c r="BB211"/>
  <c r="BC341"/>
  <c r="BB341"/>
  <c r="BC231"/>
  <c r="BB231"/>
  <c r="BC177"/>
  <c r="BB177"/>
  <c r="BC305"/>
  <c r="BB305"/>
  <c r="BC557"/>
  <c r="BB557"/>
  <c r="BC41"/>
  <c r="BB41"/>
  <c r="BC595"/>
  <c r="BB595"/>
  <c r="BC579"/>
  <c r="BB579"/>
  <c r="BC576"/>
  <c r="BB576"/>
  <c r="BC564"/>
  <c r="BB564"/>
  <c r="BC560"/>
  <c r="BB560"/>
  <c r="BC552"/>
  <c r="BB552"/>
  <c r="BC548"/>
  <c r="BB548"/>
  <c r="BC541"/>
  <c r="BB541"/>
  <c r="BC536"/>
  <c r="BB536"/>
  <c r="BC530"/>
  <c r="BB530"/>
  <c r="BC526"/>
  <c r="BB526"/>
  <c r="BC522"/>
  <c r="BB522"/>
  <c r="BC518"/>
  <c r="BB518"/>
  <c r="BC514"/>
  <c r="BB514"/>
  <c r="BC510"/>
  <c r="BB510"/>
  <c r="BC506"/>
  <c r="BB506"/>
  <c r="BC502"/>
  <c r="BB502"/>
  <c r="BC498"/>
  <c r="BB498"/>
  <c r="BC494"/>
  <c r="BB494"/>
  <c r="BC488"/>
  <c r="BB488"/>
  <c r="BC484"/>
  <c r="BB484"/>
  <c r="BC480"/>
  <c r="BB480"/>
  <c r="BC475"/>
  <c r="BB475"/>
  <c r="BC471"/>
  <c r="BB471"/>
  <c r="BC466"/>
  <c r="BB466"/>
  <c r="BC462"/>
  <c r="BB462"/>
  <c r="BC458"/>
  <c r="BB458"/>
  <c r="BC453"/>
  <c r="BB453"/>
  <c r="BC449"/>
  <c r="BB449"/>
  <c r="BC429"/>
  <c r="BB429"/>
  <c r="BC418"/>
  <c r="BB418"/>
  <c r="BC415"/>
  <c r="BB415"/>
  <c r="BC411"/>
  <c r="BB411"/>
  <c r="BC402"/>
  <c r="BB402"/>
  <c r="BC398"/>
  <c r="BB398"/>
  <c r="BC396"/>
  <c r="BB396"/>
  <c r="BC392"/>
  <c r="BB392"/>
  <c r="BC332"/>
  <c r="BB332"/>
  <c r="BC324"/>
  <c r="BB324"/>
  <c r="BC311"/>
  <c r="BB311"/>
  <c r="BC307"/>
  <c r="BB307"/>
  <c r="BC302"/>
  <c r="BB302"/>
  <c r="BC286"/>
  <c r="BB286"/>
  <c r="BC283"/>
  <c r="BB283"/>
  <c r="BC278"/>
  <c r="BB278"/>
  <c r="BC273"/>
  <c r="BB273"/>
  <c r="BC252"/>
  <c r="BB252"/>
  <c r="BC248"/>
  <c r="BB248"/>
  <c r="BC244"/>
  <c r="BB244"/>
  <c r="BC193"/>
  <c r="BB193"/>
  <c r="BC189"/>
  <c r="BB189"/>
  <c r="BC185"/>
  <c r="BB185"/>
  <c r="BC446"/>
  <c r="BB446"/>
  <c r="BC364"/>
  <c r="BB364"/>
  <c r="BC368"/>
  <c r="BB368"/>
  <c r="BC259"/>
  <c r="BB259"/>
  <c r="BC328"/>
  <c r="BB328"/>
  <c r="BC241"/>
  <c r="BB241"/>
  <c r="BC258"/>
  <c r="BB258"/>
  <c r="BC173"/>
  <c r="BB173"/>
  <c r="BC289"/>
  <c r="BB289"/>
  <c r="BC591"/>
  <c r="BB591"/>
  <c r="BC587"/>
  <c r="BB587"/>
  <c r="BC582"/>
  <c r="BB582"/>
  <c r="BC570"/>
  <c r="BB570"/>
  <c r="BC544"/>
  <c r="BB544"/>
  <c r="BC443"/>
  <c r="BB443"/>
  <c r="BC438"/>
  <c r="BB438"/>
  <c r="BC434"/>
  <c r="BB434"/>
  <c r="BC425"/>
  <c r="BB425"/>
  <c r="BC388"/>
  <c r="BB388"/>
  <c r="BC383"/>
  <c r="BB383"/>
  <c r="BC379"/>
  <c r="BB379"/>
  <c r="BC375"/>
  <c r="BB375"/>
  <c r="BC363"/>
  <c r="BB363"/>
  <c r="BC358"/>
  <c r="BB358"/>
  <c r="BC353"/>
  <c r="BB353"/>
  <c r="BC349"/>
  <c r="BB349"/>
  <c r="BC344"/>
  <c r="BB344"/>
  <c r="BC339"/>
  <c r="BB339"/>
  <c r="BC335"/>
  <c r="BB335"/>
  <c r="BC319"/>
  <c r="BB319"/>
  <c r="BC316"/>
  <c r="BB316"/>
  <c r="BC298"/>
  <c r="BB298"/>
  <c r="BC294"/>
  <c r="BB294"/>
  <c r="BC290"/>
  <c r="BB290"/>
  <c r="BC268"/>
  <c r="BB268"/>
  <c r="BC256"/>
  <c r="BB256"/>
  <c r="BC230"/>
  <c r="BB230"/>
  <c r="BC226"/>
  <c r="BB226"/>
  <c r="BC220"/>
  <c r="BB220"/>
  <c r="BC215"/>
  <c r="BB215"/>
  <c r="BC207"/>
  <c r="BB207"/>
  <c r="BC199"/>
  <c r="BB199"/>
  <c r="BC180"/>
  <c r="BB180"/>
  <c r="BC171"/>
  <c r="BB171"/>
  <c r="BC559"/>
  <c r="BB559"/>
  <c r="BC440"/>
  <c r="BB440"/>
  <c r="BC314"/>
  <c r="BB314"/>
  <c r="BC237"/>
  <c r="BB237"/>
  <c r="BC254"/>
  <c r="BB254"/>
  <c r="BC371"/>
  <c r="BB371"/>
  <c r="BC594"/>
  <c r="BB594"/>
  <c r="BC578"/>
  <c r="BB578"/>
  <c r="BC575"/>
  <c r="BB575"/>
  <c r="BC563"/>
  <c r="BB563"/>
  <c r="BC558"/>
  <c r="BB558"/>
  <c r="BC551"/>
  <c r="BB551"/>
  <c r="BC547"/>
  <c r="BB547"/>
  <c r="BC539"/>
  <c r="BB539"/>
  <c r="BC535"/>
  <c r="BB535"/>
  <c r="BC529"/>
  <c r="BB529"/>
  <c r="BC525"/>
  <c r="BB525"/>
  <c r="BC521"/>
  <c r="BB521"/>
  <c r="BC517"/>
  <c r="BB517"/>
  <c r="BC513"/>
  <c r="BB513"/>
  <c r="BC509"/>
  <c r="BB509"/>
  <c r="BC505"/>
  <c r="BB505"/>
  <c r="BC501"/>
  <c r="BB501"/>
  <c r="BC497"/>
  <c r="BB497"/>
  <c r="BC492"/>
  <c r="BB492"/>
  <c r="BC487"/>
  <c r="BB487"/>
  <c r="BC483"/>
  <c r="BB483"/>
  <c r="BC478"/>
  <c r="BB478"/>
  <c r="BC474"/>
  <c r="BB474"/>
  <c r="BC469"/>
  <c r="BB469"/>
  <c r="BC465"/>
  <c r="BB465"/>
  <c r="BC461"/>
  <c r="BB461"/>
  <c r="BC457"/>
  <c r="BB457"/>
  <c r="BC452"/>
  <c r="BB452"/>
  <c r="BC448"/>
  <c r="BB448"/>
  <c r="BC428"/>
  <c r="BB428"/>
  <c r="BC421"/>
  <c r="BB421"/>
  <c r="BC417"/>
  <c r="BB417"/>
  <c r="BC414"/>
  <c r="BB414"/>
  <c r="BC410"/>
  <c r="BB410"/>
  <c r="BC407"/>
  <c r="BB407"/>
  <c r="BC401"/>
  <c r="BB401"/>
  <c r="BC395"/>
  <c r="BB395"/>
  <c r="BC330"/>
  <c r="BB330"/>
  <c r="BC323"/>
  <c r="BB323"/>
  <c r="BC310"/>
  <c r="BB310"/>
  <c r="BC306"/>
  <c r="BB306"/>
  <c r="BC285"/>
  <c r="BB285"/>
  <c r="BC282"/>
  <c r="BB282"/>
  <c r="BC276"/>
  <c r="BB276"/>
  <c r="BC272"/>
  <c r="BB272"/>
  <c r="BC251"/>
  <c r="BB251"/>
  <c r="BC247"/>
  <c r="BB247"/>
  <c r="BC192"/>
  <c r="BB192"/>
  <c r="BC188"/>
  <c r="BB188"/>
  <c r="BC183"/>
  <c r="BB183"/>
  <c r="BC210"/>
  <c r="BB210"/>
  <c r="BC357"/>
  <c r="BB357"/>
  <c r="BC257"/>
  <c r="BB257"/>
  <c r="BC356"/>
  <c r="BB356"/>
  <c r="BC572"/>
  <c r="BB572"/>
  <c r="BC196"/>
  <c r="BB196"/>
  <c r="BC175"/>
  <c r="BB175"/>
  <c r="BC553"/>
  <c r="BB553"/>
  <c r="BC370"/>
  <c r="BB370"/>
  <c r="BC565"/>
  <c r="BB565"/>
  <c r="BC590"/>
  <c r="BB590"/>
  <c r="BC585"/>
  <c r="BB585"/>
  <c r="BC567"/>
  <c r="BB567"/>
  <c r="BC543"/>
  <c r="BB543"/>
  <c r="BC442"/>
  <c r="BB442"/>
  <c r="BC437"/>
  <c r="BB437"/>
  <c r="BC424"/>
  <c r="BB424"/>
  <c r="BC391"/>
  <c r="BB391"/>
  <c r="BC386"/>
  <c r="BB386"/>
  <c r="BC382"/>
  <c r="BB382"/>
  <c r="BC378"/>
  <c r="BB378"/>
  <c r="BC374"/>
  <c r="BB374"/>
  <c r="BC362"/>
  <c r="BB362"/>
  <c r="BC352"/>
  <c r="BB352"/>
  <c r="BC347"/>
  <c r="BB347"/>
  <c r="BC343"/>
  <c r="BB343"/>
  <c r="BC338"/>
  <c r="BB338"/>
  <c r="BC334"/>
  <c r="BB334"/>
  <c r="BC313"/>
  <c r="BB313"/>
  <c r="BC301"/>
  <c r="BB301"/>
  <c r="BC297"/>
  <c r="BB297"/>
  <c r="BC293"/>
  <c r="BB293"/>
  <c r="BC266"/>
  <c r="BB266"/>
  <c r="BC262"/>
  <c r="BB262"/>
  <c r="BC255"/>
  <c r="BB255"/>
  <c r="BC243"/>
  <c r="BB243"/>
  <c r="BC229"/>
  <c r="BB229"/>
  <c r="BC225"/>
  <c r="BB225"/>
  <c r="BC218"/>
  <c r="BB218"/>
  <c r="BC212"/>
  <c r="BB212"/>
  <c r="BC206"/>
  <c r="BB206"/>
  <c r="BC202"/>
  <c r="BB202"/>
  <c r="BC179"/>
  <c r="BB179"/>
  <c r="BC169"/>
  <c r="BB169"/>
  <c r="BC240"/>
  <c r="BB240"/>
  <c r="BC178"/>
  <c r="BB178"/>
  <c r="BC232"/>
  <c r="BB232"/>
  <c r="BC176"/>
  <c r="BB176"/>
  <c r="BC593"/>
  <c r="BB593"/>
  <c r="BC581"/>
  <c r="BB581"/>
  <c r="BC577"/>
  <c r="BB577"/>
  <c r="BC574"/>
  <c r="BB574"/>
  <c r="BC562"/>
  <c r="BB562"/>
  <c r="BC556"/>
  <c r="BB556"/>
  <c r="BC550"/>
  <c r="BB550"/>
  <c r="BC538"/>
  <c r="BB538"/>
  <c r="BC533"/>
  <c r="BB533"/>
  <c r="BC528"/>
  <c r="BB528"/>
  <c r="BC524"/>
  <c r="BB524"/>
  <c r="BC520"/>
  <c r="BB520"/>
  <c r="BC516"/>
  <c r="BB516"/>
  <c r="BC512"/>
  <c r="BB512"/>
  <c r="BC508"/>
  <c r="BB508"/>
  <c r="BC504"/>
  <c r="BB504"/>
  <c r="BC500"/>
  <c r="BB500"/>
  <c r="BC496"/>
  <c r="BB496"/>
  <c r="BC491"/>
  <c r="BB491"/>
  <c r="BC486"/>
  <c r="BB486"/>
  <c r="BC482"/>
  <c r="BB482"/>
  <c r="BC477"/>
  <c r="BB477"/>
  <c r="BC473"/>
  <c r="BB473"/>
  <c r="BC468"/>
  <c r="BB468"/>
  <c r="BC464"/>
  <c r="BB464"/>
  <c r="BC460"/>
  <c r="BB460"/>
  <c r="BC455"/>
  <c r="BB455"/>
  <c r="BC451"/>
  <c r="BB451"/>
  <c r="BC447"/>
  <c r="BB447"/>
  <c r="BC432"/>
  <c r="BB432"/>
  <c r="BC427"/>
  <c r="BB427"/>
  <c r="BC420"/>
  <c r="BB420"/>
  <c r="BC413"/>
  <c r="BB413"/>
  <c r="BC409"/>
  <c r="BB409"/>
  <c r="BC406"/>
  <c r="BB406"/>
  <c r="BC400"/>
  <c r="BB400"/>
  <c r="BC394"/>
  <c r="BB394"/>
  <c r="BC327"/>
  <c r="BB327"/>
  <c r="BC322"/>
  <c r="BB322"/>
  <c r="BC309"/>
  <c r="BB309"/>
  <c r="BC304"/>
  <c r="BB304"/>
  <c r="BC288"/>
  <c r="BB288"/>
  <c r="BC284"/>
  <c r="BB284"/>
  <c r="BC280"/>
  <c r="BB280"/>
  <c r="BC275"/>
  <c r="BB275"/>
  <c r="BC250"/>
  <c r="BB250"/>
  <c r="BC246"/>
  <c r="BB246"/>
  <c r="BC191"/>
  <c r="BB191"/>
  <c r="BC187"/>
  <c r="BB187"/>
  <c r="BC182"/>
  <c r="BB182"/>
  <c r="BC403"/>
  <c r="BB403"/>
  <c r="BC367"/>
  <c r="BB367"/>
  <c r="BC236"/>
  <c r="BB236"/>
  <c r="BC369"/>
  <c r="BB369"/>
  <c r="BC238"/>
  <c r="BB238"/>
  <c r="BC277"/>
  <c r="BB277"/>
  <c r="BC239"/>
  <c r="BB239"/>
  <c r="BC555"/>
  <c r="BB555"/>
  <c r="BC198"/>
  <c r="BB198"/>
  <c r="BC540"/>
  <c r="BB540"/>
  <c r="BC405"/>
  <c r="BB405"/>
  <c r="BC329"/>
  <c r="BB329"/>
  <c r="BC534"/>
  <c r="BB534"/>
  <c r="BD195"/>
  <c r="BK229"/>
  <c r="AY229"/>
  <c r="BA531"/>
  <c r="BA490"/>
  <c r="BD490" s="1"/>
  <c r="BA456"/>
  <c r="BA126"/>
  <c r="BD126" s="1"/>
  <c r="BB126" s="1"/>
  <c r="W600"/>
  <c r="W603" s="1"/>
  <c r="W604" s="1"/>
  <c r="BA85"/>
  <c r="BA568"/>
  <c r="AN600"/>
  <c r="BA129"/>
  <c r="BA214"/>
  <c r="BM603"/>
  <c r="BM604" s="1"/>
  <c r="AO603"/>
  <c r="AO604" s="1"/>
  <c r="X603"/>
  <c r="X604" s="1"/>
  <c r="AQ602"/>
  <c r="AQ603" s="1"/>
  <c r="AQ604" s="1"/>
  <c r="BP87"/>
  <c r="Q600"/>
  <c r="AR600"/>
  <c r="Q602"/>
  <c r="BP34"/>
  <c r="AY67"/>
  <c r="AS602"/>
  <c r="AS603" s="1"/>
  <c r="AS604" s="1"/>
  <c r="BA32"/>
  <c r="AP602"/>
  <c r="AP603" s="1"/>
  <c r="AP604" s="1"/>
  <c r="BA28"/>
  <c r="BA133"/>
  <c r="BI34"/>
  <c r="BA51"/>
  <c r="BD51" s="1"/>
  <c r="BI9"/>
  <c r="BA151"/>
  <c r="BD151" s="1"/>
  <c r="BA67"/>
  <c r="BA159"/>
  <c r="AY422"/>
  <c r="AN602"/>
  <c r="BG24"/>
  <c r="BP126"/>
  <c r="BA99"/>
  <c r="BA48"/>
  <c r="BD4"/>
  <c r="BA157"/>
  <c r="BA160"/>
  <c r="BD160" s="1"/>
  <c r="BB160" s="1"/>
  <c r="BA27"/>
  <c r="BA61"/>
  <c r="BA110"/>
  <c r="BD110" s="1"/>
  <c r="AY377"/>
  <c r="BA101"/>
  <c r="BA68"/>
  <c r="BF603"/>
  <c r="BF604" s="1"/>
  <c r="AY112"/>
  <c r="BA132"/>
  <c r="BD132" s="1"/>
  <c r="BA56"/>
  <c r="BD56" s="1"/>
  <c r="BA125"/>
  <c r="BA75"/>
  <c r="AY302"/>
  <c r="BA165"/>
  <c r="BA84"/>
  <c r="BD84" s="1"/>
  <c r="BA74"/>
  <c r="BA130"/>
  <c r="BK454"/>
  <c r="BK128"/>
  <c r="AY413"/>
  <c r="BA53"/>
  <c r="BA131"/>
  <c r="BA100"/>
  <c r="BA156"/>
  <c r="BA118"/>
  <c r="BA103"/>
  <c r="BA45"/>
  <c r="BA20"/>
  <c r="BA18"/>
  <c r="BA12"/>
  <c r="BA98"/>
  <c r="BA73"/>
  <c r="BA150"/>
  <c r="BA60"/>
  <c r="BA59"/>
  <c r="BA57"/>
  <c r="BA120"/>
  <c r="BA113"/>
  <c r="BA147"/>
  <c r="BA105"/>
  <c r="BA141"/>
  <c r="BA13"/>
  <c r="BA34"/>
  <c r="BD34" s="1"/>
  <c r="BA153"/>
  <c r="BA152"/>
  <c r="BA149"/>
  <c r="BA111"/>
  <c r="BA102"/>
  <c r="BA96"/>
  <c r="BA95"/>
  <c r="BA92"/>
  <c r="BA49"/>
  <c r="BA29"/>
  <c r="BA16"/>
  <c r="BA15"/>
  <c r="BA66"/>
  <c r="BA44"/>
  <c r="BA38"/>
  <c r="BA94"/>
  <c r="BA108"/>
  <c r="BA104"/>
  <c r="AC603"/>
  <c r="AC604" s="1"/>
  <c r="BA88"/>
  <c r="BA33"/>
  <c r="BK480"/>
  <c r="BA128"/>
  <c r="BA107"/>
  <c r="BA52"/>
  <c r="BA65"/>
  <c r="BA69"/>
  <c r="BA77"/>
  <c r="BA50"/>
  <c r="BA39"/>
  <c r="BK291"/>
  <c r="BA43"/>
  <c r="BA23"/>
  <c r="BA112"/>
  <c r="BA140"/>
  <c r="BA90"/>
  <c r="BA47"/>
  <c r="BA46"/>
  <c r="BA37"/>
  <c r="BA36"/>
  <c r="BA136"/>
  <c r="BA139"/>
  <c r="BA55"/>
  <c r="BA93"/>
  <c r="BA22"/>
  <c r="BA35"/>
  <c r="BA42"/>
  <c r="BA387"/>
  <c r="BD387" s="1"/>
  <c r="BA121"/>
  <c r="BA71"/>
  <c r="BA70"/>
  <c r="BA117"/>
  <c r="BA21"/>
  <c r="BA30"/>
  <c r="BA137"/>
  <c r="BA11"/>
  <c r="BA161"/>
  <c r="BA144"/>
  <c r="BA138"/>
  <c r="BA89"/>
  <c r="BA31"/>
  <c r="BA81"/>
  <c r="BA80"/>
  <c r="BA106"/>
  <c r="BK416"/>
  <c r="BA119"/>
  <c r="BA64"/>
  <c r="BA62"/>
  <c r="BA127"/>
  <c r="BA281"/>
  <c r="BK249"/>
  <c r="BP160"/>
  <c r="BP115"/>
  <c r="BP164"/>
  <c r="AY151"/>
  <c r="AY131"/>
  <c r="AY584"/>
  <c r="AY51"/>
  <c r="BD78"/>
  <c r="AY123"/>
  <c r="AV602"/>
  <c r="BK481"/>
  <c r="AH603"/>
  <c r="AH604" s="1"/>
  <c r="AY161"/>
  <c r="BK546"/>
  <c r="AY463"/>
  <c r="BK102"/>
  <c r="BP11"/>
  <c r="BP7"/>
  <c r="BK355"/>
  <c r="BK308"/>
  <c r="BK354"/>
  <c r="BK273"/>
  <c r="BR602"/>
  <c r="BR603" s="1"/>
  <c r="BR604" s="1"/>
  <c r="AY222"/>
  <c r="AY464"/>
  <c r="BK290"/>
  <c r="BK21"/>
  <c r="BD320"/>
  <c r="Y27"/>
  <c r="BK27" s="1"/>
  <c r="Y115"/>
  <c r="BK115" s="1"/>
  <c r="AY133"/>
  <c r="R602"/>
  <c r="AY571"/>
  <c r="BD493"/>
  <c r="BK387"/>
  <c r="BK67"/>
  <c r="BK478"/>
  <c r="BK453"/>
  <c r="BK352"/>
  <c r="BK248"/>
  <c r="BK101"/>
  <c r="AR602"/>
  <c r="T602"/>
  <c r="BQ361"/>
  <c r="BK337"/>
  <c r="BK446"/>
  <c r="BK105"/>
  <c r="AY541"/>
  <c r="BK436"/>
  <c r="BK312"/>
  <c r="BK301"/>
  <c r="BK93"/>
  <c r="BN603"/>
  <c r="BN604" s="1"/>
  <c r="R600"/>
  <c r="AY539"/>
  <c r="BK492"/>
  <c r="BK292"/>
  <c r="BK242"/>
  <c r="BH32"/>
  <c r="BK564"/>
  <c r="AY49"/>
  <c r="BK268"/>
  <c r="AY257"/>
  <c r="AY431"/>
  <c r="BK69"/>
  <c r="AY534"/>
  <c r="BD163"/>
  <c r="BK72"/>
  <c r="BD54"/>
  <c r="Z603"/>
  <c r="Z604" s="1"/>
  <c r="BK482"/>
  <c r="BK42"/>
  <c r="BK157"/>
  <c r="BK24"/>
  <c r="BD6"/>
  <c r="BD91"/>
  <c r="AY548"/>
  <c r="AY513"/>
  <c r="BD72"/>
  <c r="BK153"/>
  <c r="AY168"/>
  <c r="AY231"/>
  <c r="BD40"/>
  <c r="AY166"/>
  <c r="BK118"/>
  <c r="BK351"/>
  <c r="BK215"/>
  <c r="AY143"/>
  <c r="BD145"/>
  <c r="AJ603"/>
  <c r="AJ604" s="1"/>
  <c r="V603"/>
  <c r="V604" s="1"/>
  <c r="BK495"/>
  <c r="BK420"/>
  <c r="BK410"/>
  <c r="BK391"/>
  <c r="BK340"/>
  <c r="BK271"/>
  <c r="BK212"/>
  <c r="BK38"/>
  <c r="AB603"/>
  <c r="AB604" s="1"/>
  <c r="BK566"/>
  <c r="BK504"/>
  <c r="BK494"/>
  <c r="BK419"/>
  <c r="BK358"/>
  <c r="BK339"/>
  <c r="BK316"/>
  <c r="BK269"/>
  <c r="BK250"/>
  <c r="BK209"/>
  <c r="AK603"/>
  <c r="AK604" s="1"/>
  <c r="BO603"/>
  <c r="BO604" s="1"/>
  <c r="BD166"/>
  <c r="AY145"/>
  <c r="BK361"/>
  <c r="BK594"/>
  <c r="AY156"/>
  <c r="AY552"/>
  <c r="BK138"/>
  <c r="AY535"/>
  <c r="AY514"/>
  <c r="BK457"/>
  <c r="AY418"/>
  <c r="AY417"/>
  <c r="AY353"/>
  <c r="BK343"/>
  <c r="BK323"/>
  <c r="BK322"/>
  <c r="BK321"/>
  <c r="BK62"/>
  <c r="BK286"/>
  <c r="BK285"/>
  <c r="BK251"/>
  <c r="AY403"/>
  <c r="AY445"/>
  <c r="AY178"/>
  <c r="AY289"/>
  <c r="BK94"/>
  <c r="AY479"/>
  <c r="BK320"/>
  <c r="BK53"/>
  <c r="AI603"/>
  <c r="AI604" s="1"/>
  <c r="BK510"/>
  <c r="BK496"/>
  <c r="BK483"/>
  <c r="BK421"/>
  <c r="BK396"/>
  <c r="BK342"/>
  <c r="BK60"/>
  <c r="BK120"/>
  <c r="BK149"/>
  <c r="BK46"/>
  <c r="BK76"/>
  <c r="AG600"/>
  <c r="BK140"/>
  <c r="BK533"/>
  <c r="AY414"/>
  <c r="BK81"/>
  <c r="AY493"/>
  <c r="BK163"/>
  <c r="BK23"/>
  <c r="BK54"/>
  <c r="BD142"/>
  <c r="BK63"/>
  <c r="BK110"/>
  <c r="BD361"/>
  <c r="AG602"/>
  <c r="BK246"/>
  <c r="BK235"/>
  <c r="BK176"/>
  <c r="BD76"/>
  <c r="BK550"/>
  <c r="BK435"/>
  <c r="BK350"/>
  <c r="BK311"/>
  <c r="BK230"/>
  <c r="BD79"/>
  <c r="BD25"/>
  <c r="BD164"/>
  <c r="BD146"/>
  <c r="BK595"/>
  <c r="BK542"/>
  <c r="BK485"/>
  <c r="BK434"/>
  <c r="AY376"/>
  <c r="BK349"/>
  <c r="BK310"/>
  <c r="BK252"/>
  <c r="BK188"/>
  <c r="AY490"/>
  <c r="BD479"/>
  <c r="BD58"/>
  <c r="AY219"/>
  <c r="BD17"/>
  <c r="S603"/>
  <c r="S604" s="1"/>
  <c r="BD134"/>
  <c r="BK6"/>
  <c r="AY135"/>
  <c r="BD82"/>
  <c r="BK263"/>
  <c r="BD348"/>
  <c r="AY567"/>
  <c r="BK523"/>
  <c r="BK522"/>
  <c r="BK521"/>
  <c r="BK501"/>
  <c r="BK500"/>
  <c r="BK499"/>
  <c r="BK498"/>
  <c r="BK488"/>
  <c r="BK487"/>
  <c r="BK486"/>
  <c r="BK427"/>
  <c r="AY423"/>
  <c r="AY96"/>
  <c r="BK360"/>
  <c r="BK345"/>
  <c r="BK326"/>
  <c r="BK318"/>
  <c r="BK303"/>
  <c r="BK274"/>
  <c r="BK264"/>
  <c r="BK225"/>
  <c r="BK223"/>
  <c r="BK216"/>
  <c r="BK202"/>
  <c r="BK117"/>
  <c r="AY44"/>
  <c r="AY175"/>
  <c r="BD24"/>
  <c r="BK133"/>
  <c r="AA602"/>
  <c r="BK497"/>
  <c r="BK484"/>
  <c r="BK455"/>
  <c r="BK362"/>
  <c r="BK359"/>
  <c r="BK344"/>
  <c r="BK324"/>
  <c r="BK37"/>
  <c r="BK108"/>
  <c r="BD7"/>
  <c r="BD263"/>
  <c r="BK75"/>
  <c r="AY583"/>
  <c r="AY581"/>
  <c r="AY578"/>
  <c r="AY577"/>
  <c r="AY560"/>
  <c r="AY525"/>
  <c r="AY430"/>
  <c r="AY429"/>
  <c r="AY306"/>
  <c r="AY220"/>
  <c r="AY218"/>
  <c r="AY372"/>
  <c r="AY270"/>
  <c r="BD233"/>
  <c r="BD10"/>
  <c r="BD531"/>
  <c r="AY221"/>
  <c r="AY84"/>
  <c r="BD109"/>
  <c r="AY8"/>
  <c r="BD213"/>
  <c r="BK144"/>
  <c r="AY554"/>
  <c r="BK527"/>
  <c r="BK467"/>
  <c r="AY335"/>
  <c r="BK64"/>
  <c r="BK57"/>
  <c r="BK45"/>
  <c r="AY127"/>
  <c r="BK540"/>
  <c r="BK329"/>
  <c r="BD221"/>
  <c r="BD19"/>
  <c r="AY59"/>
  <c r="BK284"/>
  <c r="BK247"/>
  <c r="BK228"/>
  <c r="AY18"/>
  <c r="BK4"/>
  <c r="BD87"/>
  <c r="AY5"/>
  <c r="BD123"/>
  <c r="BD83"/>
  <c r="BD97"/>
  <c r="AY33"/>
  <c r="BD200"/>
  <c r="BK491"/>
  <c r="BK477"/>
  <c r="BK460"/>
  <c r="BK432"/>
  <c r="BK409"/>
  <c r="BK373"/>
  <c r="BK347"/>
  <c r="BK307"/>
  <c r="BK298"/>
  <c r="BK276"/>
  <c r="BK245"/>
  <c r="BK227"/>
  <c r="BK305"/>
  <c r="BK531"/>
  <c r="BK456"/>
  <c r="BD135"/>
  <c r="BK48"/>
  <c r="AY97"/>
  <c r="BK579"/>
  <c r="BK558"/>
  <c r="BK502"/>
  <c r="BK489"/>
  <c r="BK471"/>
  <c r="BK459"/>
  <c r="BK428"/>
  <c r="AY424"/>
  <c r="AY412"/>
  <c r="BK103"/>
  <c r="AY397"/>
  <c r="AY392"/>
  <c r="BK366"/>
  <c r="BK346"/>
  <c r="BK327"/>
  <c r="BK275"/>
  <c r="BK262"/>
  <c r="BK244"/>
  <c r="BK226"/>
  <c r="BK224"/>
  <c r="BK217"/>
  <c r="AY174"/>
  <c r="AY197"/>
  <c r="AY553"/>
  <c r="BK104"/>
  <c r="BD219"/>
  <c r="AY281"/>
  <c r="BK86"/>
  <c r="BD170"/>
  <c r="AY142"/>
  <c r="BK111"/>
  <c r="BK68"/>
  <c r="AY207"/>
  <c r="AY206"/>
  <c r="AY201"/>
  <c r="AY195"/>
  <c r="AY193"/>
  <c r="AY186"/>
  <c r="AY185"/>
  <c r="AY210"/>
  <c r="BK106"/>
  <c r="BK113"/>
  <c r="BD155"/>
  <c r="BD124"/>
  <c r="AY124"/>
  <c r="AY129"/>
  <c r="BK159"/>
  <c r="AY588"/>
  <c r="AY574"/>
  <c r="AY573"/>
  <c r="BK563"/>
  <c r="BK545"/>
  <c r="BK538"/>
  <c r="AY517"/>
  <c r="AY506"/>
  <c r="AY505"/>
  <c r="BK476"/>
  <c r="BK469"/>
  <c r="BK452"/>
  <c r="AY447"/>
  <c r="AY444"/>
  <c r="AY438"/>
  <c r="AY437"/>
  <c r="AY408"/>
  <c r="AY400"/>
  <c r="AY399"/>
  <c r="BK395"/>
  <c r="BK394"/>
  <c r="BK393"/>
  <c r="BK89"/>
  <c r="BK390"/>
  <c r="BK313"/>
  <c r="BK304"/>
  <c r="BK300"/>
  <c r="BK297"/>
  <c r="AY279"/>
  <c r="AY278"/>
  <c r="BK272"/>
  <c r="BK266"/>
  <c r="BK36"/>
  <c r="BK261"/>
  <c r="BK243"/>
  <c r="AY208"/>
  <c r="AY189"/>
  <c r="AY187"/>
  <c r="BK258"/>
  <c r="AY173"/>
  <c r="BK147"/>
  <c r="BK141"/>
  <c r="AY371"/>
  <c r="AY267"/>
  <c r="BD122"/>
  <c r="BK79"/>
  <c r="AY155"/>
  <c r="BD331"/>
  <c r="BL603"/>
  <c r="BL604" s="1"/>
  <c r="BK134"/>
  <c r="BK100"/>
  <c r="BD8"/>
  <c r="BD158"/>
  <c r="BK580"/>
  <c r="BK570"/>
  <c r="BK562"/>
  <c r="BK561"/>
  <c r="BK556"/>
  <c r="BK551"/>
  <c r="BK544"/>
  <c r="BK543"/>
  <c r="BK537"/>
  <c r="BK536"/>
  <c r="BK532"/>
  <c r="BK530"/>
  <c r="BK529"/>
  <c r="BK528"/>
  <c r="AY509"/>
  <c r="BK474"/>
  <c r="BK473"/>
  <c r="BK472"/>
  <c r="BK468"/>
  <c r="BK451"/>
  <c r="BK443"/>
  <c r="BK425"/>
  <c r="BK407"/>
  <c r="BK389"/>
  <c r="BK388"/>
  <c r="BK386"/>
  <c r="BK385"/>
  <c r="BK384"/>
  <c r="BK383"/>
  <c r="BK382"/>
  <c r="BK299"/>
  <c r="BK296"/>
  <c r="BK295"/>
  <c r="BK265"/>
  <c r="AY16"/>
  <c r="BK181"/>
  <c r="BK179"/>
  <c r="BK555"/>
  <c r="BK198"/>
  <c r="BK184"/>
  <c r="BK565"/>
  <c r="BK41"/>
  <c r="BK10"/>
  <c r="BK40"/>
  <c r="AY122"/>
  <c r="BD470"/>
  <c r="BD86"/>
  <c r="BK214"/>
  <c r="BK170"/>
  <c r="BK591"/>
  <c r="BK549"/>
  <c r="BK526"/>
  <c r="BK520"/>
  <c r="BK450"/>
  <c r="BK442"/>
  <c r="BK406"/>
  <c r="BK381"/>
  <c r="BK336"/>
  <c r="BK288"/>
  <c r="BK180"/>
  <c r="BK172"/>
  <c r="BK169"/>
  <c r="BK167"/>
  <c r="BK368"/>
  <c r="BK238"/>
  <c r="BK569"/>
  <c r="BK196"/>
  <c r="BK232"/>
  <c r="BK150"/>
  <c r="BK213"/>
  <c r="BK590"/>
  <c r="BK589"/>
  <c r="BK585"/>
  <c r="BK582"/>
  <c r="BK547"/>
  <c r="BK524"/>
  <c r="BK519"/>
  <c r="BK518"/>
  <c r="BK515"/>
  <c r="BK512"/>
  <c r="BK465"/>
  <c r="BK462"/>
  <c r="BK461"/>
  <c r="BK411"/>
  <c r="BK404"/>
  <c r="BK380"/>
  <c r="BK379"/>
  <c r="BK378"/>
  <c r="BK375"/>
  <c r="BK374"/>
  <c r="BK334"/>
  <c r="BK319"/>
  <c r="BK256"/>
  <c r="BK255"/>
  <c r="BK253"/>
  <c r="BK205"/>
  <c r="BK20"/>
  <c r="BK199"/>
  <c r="BK194"/>
  <c r="BK192"/>
  <c r="BK183"/>
  <c r="BK12"/>
  <c r="BK171"/>
  <c r="BK572"/>
  <c r="BK405"/>
  <c r="BK331"/>
  <c r="BD63"/>
  <c r="BK596"/>
  <c r="BK592"/>
  <c r="BK587"/>
  <c r="BK575"/>
  <c r="BK516"/>
  <c r="BK511"/>
  <c r="BK507"/>
  <c r="BK448"/>
  <c r="BK439"/>
  <c r="BK415"/>
  <c r="BK401"/>
  <c r="BK398"/>
  <c r="AY90"/>
  <c r="AY71"/>
  <c r="BK333"/>
  <c r="BK330"/>
  <c r="BK293"/>
  <c r="BK282"/>
  <c r="BK280"/>
  <c r="BK204"/>
  <c r="BK191"/>
  <c r="BK182"/>
  <c r="BD456"/>
  <c r="BD143"/>
  <c r="AA600"/>
  <c r="BK593"/>
  <c r="BK576"/>
  <c r="BK508"/>
  <c r="BK503"/>
  <c r="BK139"/>
  <c r="BK55"/>
  <c r="BK66"/>
  <c r="BK39"/>
  <c r="BK116"/>
  <c r="AY116"/>
  <c r="BK73"/>
  <c r="AY73"/>
  <c r="BK30"/>
  <c r="BK126"/>
  <c r="AY126"/>
  <c r="AY132"/>
  <c r="AY25"/>
  <c r="AY125"/>
  <c r="AY26"/>
  <c r="AY109"/>
  <c r="AY91"/>
  <c r="BK200"/>
  <c r="BK152"/>
  <c r="BK475"/>
  <c r="BK466"/>
  <c r="BK309"/>
  <c r="BK283"/>
  <c r="BK95"/>
  <c r="AY95"/>
  <c r="BK29"/>
  <c r="AY29"/>
  <c r="AY211"/>
  <c r="BK211"/>
  <c r="BK160"/>
  <c r="AY160"/>
  <c r="T600"/>
  <c r="AY164"/>
  <c r="AY87"/>
  <c r="BK123"/>
  <c r="BK83"/>
  <c r="BK35"/>
  <c r="BK82"/>
  <c r="AY74"/>
  <c r="AY88"/>
  <c r="AY146"/>
  <c r="BK158"/>
  <c r="AY130"/>
  <c r="BK402"/>
  <c r="BK363"/>
  <c r="BK338"/>
  <c r="BK332"/>
  <c r="BK260"/>
  <c r="BK15"/>
  <c r="AY15"/>
  <c r="AY369"/>
  <c r="BK369"/>
  <c r="AY356"/>
  <c r="BK356"/>
  <c r="AY234"/>
  <c r="BK234"/>
  <c r="AY237"/>
  <c r="BK237"/>
  <c r="BD222"/>
  <c r="BP123"/>
  <c r="BK458"/>
  <c r="BK441"/>
  <c r="BK317"/>
  <c r="BK287"/>
  <c r="AY259"/>
  <c r="BK259"/>
  <c r="AY277"/>
  <c r="BK277"/>
  <c r="BK98"/>
  <c r="AY98"/>
  <c r="AY370"/>
  <c r="BK370"/>
  <c r="BP162"/>
  <c r="BK426"/>
  <c r="BK294"/>
  <c r="AY148"/>
  <c r="BK70"/>
  <c r="AY70"/>
  <c r="BI116"/>
  <c r="BK348"/>
  <c r="BK449"/>
  <c r="BK52"/>
  <c r="BK28"/>
  <c r="AY28"/>
  <c r="BP148"/>
  <c r="BA14"/>
  <c r="BP14"/>
  <c r="AY14"/>
  <c r="AY9"/>
  <c r="BK121"/>
  <c r="AY121"/>
  <c r="BK17"/>
  <c r="AY17"/>
  <c r="BD154"/>
  <c r="BK154"/>
  <c r="AY154"/>
  <c r="BK190"/>
  <c r="BK107"/>
  <c r="AY107"/>
  <c r="BK222"/>
  <c r="BD28"/>
  <c r="AY136"/>
  <c r="BK80"/>
  <c r="AY65"/>
  <c r="AY13"/>
  <c r="BK233"/>
  <c r="AY162"/>
  <c r="BP61"/>
  <c r="BK34"/>
  <c r="BK51"/>
  <c r="AY47"/>
  <c r="BK367"/>
  <c r="BK364"/>
  <c r="BK236"/>
  <c r="BK341"/>
  <c r="BK240"/>
  <c r="BK203"/>
  <c r="BK315"/>
  <c r="BK254"/>
  <c r="BK470"/>
  <c r="BH85"/>
  <c r="AY92"/>
  <c r="BK328"/>
  <c r="AY77"/>
  <c r="AY22"/>
  <c r="BK568"/>
  <c r="AY19"/>
  <c r="AY119"/>
  <c r="BK325"/>
  <c r="BK440"/>
  <c r="BK241"/>
  <c r="BG30"/>
  <c r="AY43"/>
  <c r="AY31"/>
  <c r="BK559"/>
  <c r="BK365"/>
  <c r="BK357"/>
  <c r="BK586"/>
  <c r="BK314"/>
  <c r="BK239"/>
  <c r="BK177"/>
  <c r="BK433"/>
  <c r="BK557"/>
  <c r="BK78"/>
  <c r="O41" i="3"/>
  <c r="Q56" i="6"/>
  <c r="AZ87" i="8" s="1"/>
  <c r="U19" i="4"/>
  <c r="U18"/>
  <c r="T5"/>
  <c r="T6"/>
  <c r="B20" s="1"/>
  <c r="O17"/>
  <c r="O12" i="3"/>
  <c r="H13" i="7"/>
  <c r="G13"/>
  <c r="D13"/>
  <c r="I12"/>
  <c r="I11"/>
  <c r="I10"/>
  <c r="I9"/>
  <c r="J7"/>
  <c r="J13" s="1"/>
  <c r="G7"/>
  <c r="F7"/>
  <c r="F13" s="1"/>
  <c r="E7"/>
  <c r="E13" s="1"/>
  <c r="D7"/>
  <c r="I6"/>
  <c r="I5"/>
  <c r="I4"/>
  <c r="I3"/>
  <c r="I7" s="1"/>
  <c r="K7" s="1"/>
  <c r="E64" i="6"/>
  <c r="AZ43" i="8" s="1"/>
  <c r="I51" i="6"/>
  <c r="AZ48" i="8"/>
  <c r="Q53" i="6"/>
  <c r="E45"/>
  <c r="E42"/>
  <c r="E41"/>
  <c r="I39"/>
  <c r="E39"/>
  <c r="Q51" s="1"/>
  <c r="I38"/>
  <c r="I60" s="1"/>
  <c r="AZ73" i="8" s="1"/>
  <c r="E37" i="6"/>
  <c r="Q49" s="1"/>
  <c r="AZ557" i="8" s="1"/>
  <c r="E36" i="6"/>
  <c r="E35"/>
  <c r="E34"/>
  <c r="E33"/>
  <c r="M52" s="1"/>
  <c r="AZ77" i="8" s="1"/>
  <c r="I30" i="6"/>
  <c r="E30"/>
  <c r="E29"/>
  <c r="E28"/>
  <c r="E26"/>
  <c r="E25"/>
  <c r="E24"/>
  <c r="E23"/>
  <c r="E48" s="1"/>
  <c r="I22"/>
  <c r="E22"/>
  <c r="E21"/>
  <c r="E20"/>
  <c r="E19"/>
  <c r="E18"/>
  <c r="E17"/>
  <c r="E16"/>
  <c r="E15"/>
  <c r="E14"/>
  <c r="E13"/>
  <c r="U9"/>
  <c r="M64" s="1"/>
  <c r="AZ553" i="8" s="1"/>
  <c r="U11" i="6"/>
  <c r="Q11"/>
  <c r="M11"/>
  <c r="M55"/>
  <c r="AZ405" i="8" s="1"/>
  <c r="Y8" i="6"/>
  <c r="M57" s="1"/>
  <c r="AZ106" i="8" s="1"/>
  <c r="Q10" i="6"/>
  <c r="E54" s="1"/>
  <c r="AZ198" i="8" s="1"/>
  <c r="M10" i="6"/>
  <c r="E56" s="1"/>
  <c r="AZ197" i="8" s="1"/>
  <c r="I10" i="6"/>
  <c r="E55" s="1"/>
  <c r="AZ196" i="8" s="1"/>
  <c r="Y10" i="6"/>
  <c r="E58" s="1"/>
  <c r="AZ210" i="8" s="1"/>
  <c r="U10" i="6"/>
  <c r="E59" s="1"/>
  <c r="AZ211" i="8" s="1"/>
  <c r="Y9" i="6"/>
  <c r="M58" s="1"/>
  <c r="I11"/>
  <c r="E61" s="1"/>
  <c r="AZ259" i="8" s="1"/>
  <c r="E11" i="6"/>
  <c r="E63" s="1"/>
  <c r="AZ258" i="8" s="1"/>
  <c r="U8" i="6"/>
  <c r="M56" s="1"/>
  <c r="AZ105" i="8" s="1"/>
  <c r="Y11" i="6"/>
  <c r="E60" s="1"/>
  <c r="AZ222" i="8" s="1"/>
  <c r="Q8" i="6"/>
  <c r="I64" s="1"/>
  <c r="AZ369" i="8" s="1"/>
  <c r="M8" i="6"/>
  <c r="I65" s="1"/>
  <c r="AZ368" i="8" s="1"/>
  <c r="I8" i="6"/>
  <c r="M50" s="1"/>
  <c r="AZ74" i="8" s="1"/>
  <c r="E8" i="6"/>
  <c r="M51" s="1"/>
  <c r="AZ370" i="8" s="1"/>
  <c r="M7" i="6"/>
  <c r="M62"/>
  <c r="AZ446" i="8" s="1"/>
  <c r="I7" i="6"/>
  <c r="M49" s="1"/>
  <c r="E7"/>
  <c r="E65" s="1"/>
  <c r="AZ277" i="8" s="1"/>
  <c r="U6" i="6"/>
  <c r="I63" s="1"/>
  <c r="AZ367" i="8" s="1"/>
  <c r="Q6" i="6"/>
  <c r="I61" s="1"/>
  <c r="AZ365" i="8" s="1"/>
  <c r="Y6" i="6"/>
  <c r="I62" s="1"/>
  <c r="AZ364" i="8" s="1"/>
  <c r="M6" i="6"/>
  <c r="Q50" s="1"/>
  <c r="AZ572" i="8" s="1"/>
  <c r="E57" i="6"/>
  <c r="AZ203" i="8" s="1"/>
  <c r="I52" i="6"/>
  <c r="AZ314" i="8" s="1"/>
  <c r="I6" i="6"/>
  <c r="I58" s="1"/>
  <c r="AZ357" i="8" s="1"/>
  <c r="E6" i="6"/>
  <c r="I59" s="1"/>
  <c r="AZ356" i="8" s="1"/>
  <c r="Y5" i="6"/>
  <c r="I53" s="1"/>
  <c r="AZ315" i="8" s="1"/>
  <c r="U5" i="6"/>
  <c r="M59" s="1"/>
  <c r="AZ431" i="8" s="1"/>
  <c r="Q5" i="6"/>
  <c r="M65" s="1"/>
  <c r="AZ555" i="8" s="1"/>
  <c r="M5" i="6"/>
  <c r="M61" s="1"/>
  <c r="AZ445" i="8" s="1"/>
  <c r="I5" i="6"/>
  <c r="E49" s="1"/>
  <c r="AZ173" i="8" s="1"/>
  <c r="E5" i="6"/>
  <c r="M60" s="1"/>
  <c r="AZ433" i="8" s="1"/>
  <c r="Z4" i="6"/>
  <c r="Z46" s="1"/>
  <c r="Y4"/>
  <c r="I55" s="1"/>
  <c r="AZ328" i="8" s="1"/>
  <c r="U4" i="6"/>
  <c r="E51" s="1"/>
  <c r="AZ177" i="8" s="1"/>
  <c r="Q4" i="6"/>
  <c r="I57" s="1"/>
  <c r="AZ341" i="8" s="1"/>
  <c r="M4" i="6"/>
  <c r="Q52" s="1"/>
  <c r="AZ586" i="8" s="1"/>
  <c r="I4" i="6"/>
  <c r="M63" s="1"/>
  <c r="AZ540" i="8" s="1"/>
  <c r="E4" i="6"/>
  <c r="A4"/>
  <c r="A46" s="1"/>
  <c r="Q54" s="1"/>
  <c r="AZ125" i="8" s="1"/>
  <c r="M3" i="6"/>
  <c r="I3"/>
  <c r="E3"/>
  <c r="E2"/>
  <c r="M17" i="5"/>
  <c r="E25" s="1"/>
  <c r="I17"/>
  <c r="E17"/>
  <c r="A17"/>
  <c r="AO16"/>
  <c r="AK16"/>
  <c r="AG16"/>
  <c r="AC16"/>
  <c r="Y16"/>
  <c r="U16"/>
  <c r="Q16"/>
  <c r="M16"/>
  <c r="I16"/>
  <c r="E16"/>
  <c r="A16"/>
  <c r="AO15"/>
  <c r="AK15"/>
  <c r="E15"/>
  <c r="A15"/>
  <c r="M14"/>
  <c r="I14"/>
  <c r="E14"/>
  <c r="A14"/>
  <c r="AO13"/>
  <c r="AK13"/>
  <c r="AG13"/>
  <c r="AC13"/>
  <c r="Y13"/>
  <c r="U13"/>
  <c r="Q13"/>
  <c r="M13"/>
  <c r="I13"/>
  <c r="E13"/>
  <c r="L15" s="1"/>
  <c r="A13"/>
  <c r="AO12"/>
  <c r="AK12"/>
  <c r="AG12"/>
  <c r="E32" s="1"/>
  <c r="AC12"/>
  <c r="I28" s="1"/>
  <c r="Y12"/>
  <c r="U12"/>
  <c r="Q12"/>
  <c r="M23" s="1"/>
  <c r="M12"/>
  <c r="M26" s="1"/>
  <c r="I12"/>
  <c r="E12"/>
  <c r="A12"/>
  <c r="AO11"/>
  <c r="I23" s="1"/>
  <c r="AK11"/>
  <c r="AG11"/>
  <c r="M28" s="1"/>
  <c r="AC11"/>
  <c r="I22" s="1"/>
  <c r="Y11"/>
  <c r="I30" s="1"/>
  <c r="U11"/>
  <c r="I25" s="1"/>
  <c r="Q11"/>
  <c r="E30" s="1"/>
  <c r="M11"/>
  <c r="I11"/>
  <c r="I19" s="1"/>
  <c r="E11"/>
  <c r="AO10"/>
  <c r="AK10"/>
  <c r="M30" s="1"/>
  <c r="AG10"/>
  <c r="AC10"/>
  <c r="M25" s="1"/>
  <c r="Y10"/>
  <c r="U10"/>
  <c r="AO4"/>
  <c r="AO9"/>
  <c r="AO8"/>
  <c r="E22" s="1"/>
  <c r="AK8"/>
  <c r="AG8"/>
  <c r="I26" s="1"/>
  <c r="AC8"/>
  <c r="AO6"/>
  <c r="AO5"/>
  <c r="E29" s="1"/>
  <c r="AK5"/>
  <c r="AG5"/>
  <c r="AC19"/>
  <c r="AO3"/>
  <c r="AO19" s="1"/>
  <c r="AG437" i="4"/>
  <c r="AF437"/>
  <c r="AA437"/>
  <c r="Z437"/>
  <c r="K19"/>
  <c r="U17" s="1"/>
  <c r="C19"/>
  <c r="O18"/>
  <c r="K18"/>
  <c r="G17"/>
  <c r="O16"/>
  <c r="U9" s="1"/>
  <c r="K16"/>
  <c r="O15"/>
  <c r="K15"/>
  <c r="G15"/>
  <c r="U16" s="1"/>
  <c r="C15"/>
  <c r="O14"/>
  <c r="K14"/>
  <c r="G14"/>
  <c r="O13"/>
  <c r="O12"/>
  <c r="O11"/>
  <c r="U10"/>
  <c r="O10"/>
  <c r="U11" s="1"/>
  <c r="K10"/>
  <c r="G10"/>
  <c r="C10"/>
  <c r="O9"/>
  <c r="O8"/>
  <c r="U8" s="1"/>
  <c r="U7"/>
  <c r="O7"/>
  <c r="U4" s="1"/>
  <c r="O6"/>
  <c r="K6"/>
  <c r="O5"/>
  <c r="K5"/>
  <c r="O4"/>
  <c r="U14" s="1"/>
  <c r="O31" i="3"/>
  <c r="N31"/>
  <c r="N29"/>
  <c r="O27"/>
  <c r="N27"/>
  <c r="O25"/>
  <c r="N25"/>
  <c r="O23"/>
  <c r="N23"/>
  <c r="O21"/>
  <c r="N21"/>
  <c r="O16"/>
  <c r="N16"/>
  <c r="O10"/>
  <c r="N10"/>
  <c r="O8"/>
  <c r="N8"/>
  <c r="O6"/>
  <c r="N6"/>
  <c r="O4"/>
  <c r="N4"/>
  <c r="BC78" i="8" l="1"/>
  <c r="BB78"/>
  <c r="BC28"/>
  <c r="BB28"/>
  <c r="BC7"/>
  <c r="BB7"/>
  <c r="BC63"/>
  <c r="BB63"/>
  <c r="BC331"/>
  <c r="BB331"/>
  <c r="BC146"/>
  <c r="BB146"/>
  <c r="BC222"/>
  <c r="BB222"/>
  <c r="BC87"/>
  <c r="BB87"/>
  <c r="BC221"/>
  <c r="BB221"/>
  <c r="BC54"/>
  <c r="BB54"/>
  <c r="BC84"/>
  <c r="BB84"/>
  <c r="BC267"/>
  <c r="BB267"/>
  <c r="BC19"/>
  <c r="BB19"/>
  <c r="BC24"/>
  <c r="BB24"/>
  <c r="BC361"/>
  <c r="BB361"/>
  <c r="BC219"/>
  <c r="BB219"/>
  <c r="BC123"/>
  <c r="BB123"/>
  <c r="BC109"/>
  <c r="BB109"/>
  <c r="BC82"/>
  <c r="BB82"/>
  <c r="BC479"/>
  <c r="BB479"/>
  <c r="BC72"/>
  <c r="BB72"/>
  <c r="BC132"/>
  <c r="BB132"/>
  <c r="BC86"/>
  <c r="BB86"/>
  <c r="BC155"/>
  <c r="BB155"/>
  <c r="BC83"/>
  <c r="BB83"/>
  <c r="BC56"/>
  <c r="BB56"/>
  <c r="BC490"/>
  <c r="BB490"/>
  <c r="BC154"/>
  <c r="BB154"/>
  <c r="BC8"/>
  <c r="BB8"/>
  <c r="BC58"/>
  <c r="BB58"/>
  <c r="BC158"/>
  <c r="BB158"/>
  <c r="BC122"/>
  <c r="BB122"/>
  <c r="BC124"/>
  <c r="BB124"/>
  <c r="BC97"/>
  <c r="BB97"/>
  <c r="BC213"/>
  <c r="BB213"/>
  <c r="BC348"/>
  <c r="BB348"/>
  <c r="BC79"/>
  <c r="BB79"/>
  <c r="BC166"/>
  <c r="BB166"/>
  <c r="BC145"/>
  <c r="BB145"/>
  <c r="BC387"/>
  <c r="BB387"/>
  <c r="BC34"/>
  <c r="BB34"/>
  <c r="BC110"/>
  <c r="BB110"/>
  <c r="BC51"/>
  <c r="BB51"/>
  <c r="BC470"/>
  <c r="BB470"/>
  <c r="BC170"/>
  <c r="BB170"/>
  <c r="BC17"/>
  <c r="BB17"/>
  <c r="BC25"/>
  <c r="BB25"/>
  <c r="BC493"/>
  <c r="BB493"/>
  <c r="BC126"/>
  <c r="BC456"/>
  <c r="BB456"/>
  <c r="BC135"/>
  <c r="BB135"/>
  <c r="BC200"/>
  <c r="BB200"/>
  <c r="BC10"/>
  <c r="BB10"/>
  <c r="BC263"/>
  <c r="BB263"/>
  <c r="BC164"/>
  <c r="BB164"/>
  <c r="BC76"/>
  <c r="BB76"/>
  <c r="BC142"/>
  <c r="BB142"/>
  <c r="BC40"/>
  <c r="BB40"/>
  <c r="BC6"/>
  <c r="BB6"/>
  <c r="BC163"/>
  <c r="BB163"/>
  <c r="BC151"/>
  <c r="BB151"/>
  <c r="BC233"/>
  <c r="BB233"/>
  <c r="BC143"/>
  <c r="BB143"/>
  <c r="BC531"/>
  <c r="BB531"/>
  <c r="BC134"/>
  <c r="BB134"/>
  <c r="BC91"/>
  <c r="BB91"/>
  <c r="BC320"/>
  <c r="BB320"/>
  <c r="BC4"/>
  <c r="BB4"/>
  <c r="BC195"/>
  <c r="BB195"/>
  <c r="BD115"/>
  <c r="BD81"/>
  <c r="BD30"/>
  <c r="BD38"/>
  <c r="BD13"/>
  <c r="BD80"/>
  <c r="BD137"/>
  <c r="BD43"/>
  <c r="BD94"/>
  <c r="BD125"/>
  <c r="BD106"/>
  <c r="BD136"/>
  <c r="BD108"/>
  <c r="BD75"/>
  <c r="BD99"/>
  <c r="BD139"/>
  <c r="BD112"/>
  <c r="BD65"/>
  <c r="BD104"/>
  <c r="BD120"/>
  <c r="BD101"/>
  <c r="BD48"/>
  <c r="BD55"/>
  <c r="BD69"/>
  <c r="BD113"/>
  <c r="BD68"/>
  <c r="BD67"/>
  <c r="BD93"/>
  <c r="BD77"/>
  <c r="BD88"/>
  <c r="BD147"/>
  <c r="BD98"/>
  <c r="BD100"/>
  <c r="BD159"/>
  <c r="BD117"/>
  <c r="BD22"/>
  <c r="BD50"/>
  <c r="BD33"/>
  <c r="BD66"/>
  <c r="BD105"/>
  <c r="BD73"/>
  <c r="BD74"/>
  <c r="BD127"/>
  <c r="BD21"/>
  <c r="BD35"/>
  <c r="BD39"/>
  <c r="BD44"/>
  <c r="BD141"/>
  <c r="BD150"/>
  <c r="BD133"/>
  <c r="BD62"/>
  <c r="BD89"/>
  <c r="BD47"/>
  <c r="BD102"/>
  <c r="BD156"/>
  <c r="BD129"/>
  <c r="BD31"/>
  <c r="BD46"/>
  <c r="BD96"/>
  <c r="BD118"/>
  <c r="BD130"/>
  <c r="BD214"/>
  <c r="BD281"/>
  <c r="BD42"/>
  <c r="BD37"/>
  <c r="BD128"/>
  <c r="BD95"/>
  <c r="BD60"/>
  <c r="BD103"/>
  <c r="BD36"/>
  <c r="BD107"/>
  <c r="BD92"/>
  <c r="BD59"/>
  <c r="BD45"/>
  <c r="BD23"/>
  <c r="BD52"/>
  <c r="BD49"/>
  <c r="BD153"/>
  <c r="BD57"/>
  <c r="BD20"/>
  <c r="BD161"/>
  <c r="BD121"/>
  <c r="BD29"/>
  <c r="BD152"/>
  <c r="BD18"/>
  <c r="BD53"/>
  <c r="BD568"/>
  <c r="BD119"/>
  <c r="BD144"/>
  <c r="BD71"/>
  <c r="BD140"/>
  <c r="BD16"/>
  <c r="BD149"/>
  <c r="BD12"/>
  <c r="BD131"/>
  <c r="BD64"/>
  <c r="BD138"/>
  <c r="BD70"/>
  <c r="BD90"/>
  <c r="BD15"/>
  <c r="BD111"/>
  <c r="BD157"/>
  <c r="AN603"/>
  <c r="AN604" s="1"/>
  <c r="AR603"/>
  <c r="AR604" s="1"/>
  <c r="Q603"/>
  <c r="Q604" s="1"/>
  <c r="AY27"/>
  <c r="I50" i="6"/>
  <c r="AZ289" i="8" s="1"/>
  <c r="I56" i="6"/>
  <c r="AZ61" i="8" s="1"/>
  <c r="Q55" i="6"/>
  <c r="AZ56" i="8" s="1"/>
  <c r="M53" i="6"/>
  <c r="AZ84" i="8" s="1"/>
  <c r="E66" i="6"/>
  <c r="AZ39" i="8" s="1"/>
  <c r="M46" i="6"/>
  <c r="I54"/>
  <c r="AZ329" i="8" s="1"/>
  <c r="E62" i="6"/>
  <c r="AZ35" i="8" s="1"/>
  <c r="E53" i="6"/>
  <c r="AZ13" i="8" s="1"/>
  <c r="E46" i="6"/>
  <c r="E50"/>
  <c r="AZ175" i="8" s="1"/>
  <c r="AZ25"/>
  <c r="AZ371"/>
  <c r="AZ75"/>
  <c r="BI600"/>
  <c r="AY115"/>
  <c r="T603"/>
  <c r="T604" s="1"/>
  <c r="BD27"/>
  <c r="R603"/>
  <c r="R604" s="1"/>
  <c r="BA116"/>
  <c r="BA26"/>
  <c r="BA148"/>
  <c r="BA5"/>
  <c r="BA162"/>
  <c r="BA9"/>
  <c r="AV603"/>
  <c r="AV604" s="1"/>
  <c r="AA603"/>
  <c r="AA604" s="1"/>
  <c r="AG603"/>
  <c r="AG604" s="1"/>
  <c r="BG602"/>
  <c r="BG600"/>
  <c r="AL602"/>
  <c r="AL600"/>
  <c r="BP602"/>
  <c r="BP600"/>
  <c r="BH602"/>
  <c r="BH600"/>
  <c r="M54" i="6"/>
  <c r="A19" i="5"/>
  <c r="M27"/>
  <c r="AK19"/>
  <c r="E19"/>
  <c r="U6" i="4"/>
  <c r="AF439"/>
  <c r="U12"/>
  <c r="U13"/>
  <c r="U15"/>
  <c r="Y19" i="5"/>
  <c r="AG19"/>
  <c r="O34" i="3"/>
  <c r="O17"/>
  <c r="N34"/>
  <c r="M22" i="5"/>
  <c r="E26"/>
  <c r="I32"/>
  <c r="I31"/>
  <c r="M20"/>
  <c r="M31"/>
  <c r="I29"/>
  <c r="E24"/>
  <c r="M29"/>
  <c r="E27"/>
  <c r="I24"/>
  <c r="M21"/>
  <c r="E28"/>
  <c r="E20"/>
  <c r="I20"/>
  <c r="M24"/>
  <c r="I13" i="7"/>
  <c r="K13" s="1"/>
  <c r="K14" s="1"/>
  <c r="K15" s="1"/>
  <c r="I27" i="5"/>
  <c r="U19"/>
  <c r="E23"/>
  <c r="E31"/>
  <c r="Y46" i="6"/>
  <c r="N17" i="3"/>
  <c r="Q19" i="5"/>
  <c r="U46" i="6"/>
  <c r="E52"/>
  <c r="AZ178" i="8" s="1"/>
  <c r="M19" i="5"/>
  <c r="D20" s="1"/>
  <c r="Q46" i="6"/>
  <c r="I46"/>
  <c r="BC138" i="8" l="1"/>
  <c r="BB138"/>
  <c r="BC144"/>
  <c r="BB144"/>
  <c r="BC161"/>
  <c r="BB161"/>
  <c r="BC59"/>
  <c r="BB59"/>
  <c r="BC37"/>
  <c r="BB37"/>
  <c r="BC31"/>
  <c r="BB31"/>
  <c r="BC150"/>
  <c r="BB150"/>
  <c r="BC73"/>
  <c r="BB73"/>
  <c r="BC100"/>
  <c r="BB100"/>
  <c r="BC113"/>
  <c r="BB113"/>
  <c r="BC112"/>
  <c r="BB112"/>
  <c r="BC94"/>
  <c r="BB94"/>
  <c r="BC115"/>
  <c r="BB115"/>
  <c r="BC70"/>
  <c r="BB70"/>
  <c r="BC71"/>
  <c r="BB71"/>
  <c r="BC121"/>
  <c r="BB121"/>
  <c r="BC45"/>
  <c r="BB45"/>
  <c r="BC128"/>
  <c r="BB128"/>
  <c r="BC46"/>
  <c r="BB46"/>
  <c r="BC133"/>
  <c r="BB133"/>
  <c r="BC74"/>
  <c r="BB74"/>
  <c r="BC159"/>
  <c r="BB159"/>
  <c r="BC68"/>
  <c r="BB68"/>
  <c r="BC65"/>
  <c r="BB65"/>
  <c r="BC125"/>
  <c r="BB125"/>
  <c r="BC81"/>
  <c r="BB81"/>
  <c r="BC90"/>
  <c r="BB90"/>
  <c r="BC140"/>
  <c r="BB140"/>
  <c r="BC29"/>
  <c r="BB29"/>
  <c r="BC23"/>
  <c r="BB23"/>
  <c r="BC95"/>
  <c r="BB95"/>
  <c r="BC96"/>
  <c r="BB96"/>
  <c r="BC62"/>
  <c r="BB62"/>
  <c r="BC127"/>
  <c r="BB127"/>
  <c r="BC117"/>
  <c r="BB117"/>
  <c r="BC67"/>
  <c r="BB67"/>
  <c r="BC104"/>
  <c r="BB104"/>
  <c r="BC106"/>
  <c r="BB106"/>
  <c r="BC30"/>
  <c r="BB30"/>
  <c r="BC27"/>
  <c r="BB27"/>
  <c r="BC15"/>
  <c r="BB15"/>
  <c r="BC16"/>
  <c r="BB16"/>
  <c r="BC152"/>
  <c r="BB152"/>
  <c r="BC52"/>
  <c r="BB52"/>
  <c r="BC60"/>
  <c r="BB60"/>
  <c r="BC118"/>
  <c r="BB118"/>
  <c r="BC89"/>
  <c r="BB89"/>
  <c r="BC21"/>
  <c r="BB21"/>
  <c r="BC22"/>
  <c r="BB22"/>
  <c r="BC93"/>
  <c r="BB93"/>
  <c r="BC120"/>
  <c r="BB120"/>
  <c r="BC136"/>
  <c r="BB136"/>
  <c r="BC38"/>
  <c r="BB38"/>
  <c r="BC111"/>
  <c r="BB111"/>
  <c r="BC149"/>
  <c r="BB149"/>
  <c r="BC18"/>
  <c r="BB18"/>
  <c r="BC49"/>
  <c r="BB49"/>
  <c r="BC103"/>
  <c r="BB103"/>
  <c r="BC130"/>
  <c r="BB130"/>
  <c r="BC47"/>
  <c r="BB47"/>
  <c r="BC35"/>
  <c r="BB35"/>
  <c r="BC50"/>
  <c r="BB50"/>
  <c r="BC77"/>
  <c r="BB77"/>
  <c r="BC101"/>
  <c r="BB101"/>
  <c r="BC108"/>
  <c r="BB108"/>
  <c r="BC13"/>
  <c r="BB13"/>
  <c r="BC157"/>
  <c r="BB157"/>
  <c r="BC12"/>
  <c r="BB12"/>
  <c r="BC53"/>
  <c r="BB53"/>
  <c r="BC153"/>
  <c r="BB153"/>
  <c r="BC36"/>
  <c r="BB36"/>
  <c r="BC214"/>
  <c r="BB214"/>
  <c r="BC102"/>
  <c r="BB102"/>
  <c r="BC39"/>
  <c r="BB39"/>
  <c r="BC33"/>
  <c r="BB33"/>
  <c r="BC88"/>
  <c r="BB88"/>
  <c r="BC48"/>
  <c r="BB48"/>
  <c r="BC75"/>
  <c r="BB75"/>
  <c r="BC80"/>
  <c r="BB80"/>
  <c r="BC131"/>
  <c r="BB131"/>
  <c r="BC568"/>
  <c r="BB568"/>
  <c r="BC57"/>
  <c r="BB57"/>
  <c r="BC107"/>
  <c r="BB107"/>
  <c r="BC281"/>
  <c r="BB281"/>
  <c r="BC156"/>
  <c r="BB156"/>
  <c r="BC44"/>
  <c r="BB44"/>
  <c r="BC66"/>
  <c r="BB66"/>
  <c r="BC147"/>
  <c r="BB147"/>
  <c r="BC55"/>
  <c r="BB55"/>
  <c r="BC99"/>
  <c r="BB99"/>
  <c r="BC137"/>
  <c r="BB137"/>
  <c r="BC64"/>
  <c r="BB64"/>
  <c r="BC119"/>
  <c r="BB119"/>
  <c r="BC20"/>
  <c r="BB20"/>
  <c r="BC92"/>
  <c r="BB92"/>
  <c r="BC42"/>
  <c r="BB42"/>
  <c r="BC129"/>
  <c r="BB129"/>
  <c r="BC141"/>
  <c r="BB141"/>
  <c r="BC105"/>
  <c r="BB105"/>
  <c r="BC98"/>
  <c r="BB98"/>
  <c r="BC69"/>
  <c r="BB69"/>
  <c r="BC139"/>
  <c r="BB139"/>
  <c r="BC43"/>
  <c r="BB43"/>
  <c r="BD116"/>
  <c r="BD148"/>
  <c r="BD9"/>
  <c r="BD26"/>
  <c r="BD162"/>
  <c r="BD5"/>
  <c r="C69" i="3"/>
  <c r="L64"/>
  <c r="C54"/>
  <c r="M41"/>
  <c r="F68"/>
  <c r="F71"/>
  <c r="I55"/>
  <c r="I57"/>
  <c r="I59"/>
  <c r="I61"/>
  <c r="F55"/>
  <c r="F64"/>
  <c r="L57"/>
  <c r="L59"/>
  <c r="L61"/>
  <c r="L63"/>
  <c r="L65"/>
  <c r="F73"/>
  <c r="I71"/>
  <c r="F54"/>
  <c r="F56"/>
  <c r="C70"/>
  <c r="L54"/>
  <c r="I72"/>
  <c r="I62"/>
  <c r="AZ117" i="8" s="1"/>
  <c r="F62" i="3"/>
  <c r="F67"/>
  <c r="F70"/>
  <c r="C72"/>
  <c r="L58"/>
  <c r="F61"/>
  <c r="C58"/>
  <c r="I63"/>
  <c r="I65"/>
  <c r="I67"/>
  <c r="L53"/>
  <c r="C57"/>
  <c r="C59"/>
  <c r="C61"/>
  <c r="C63"/>
  <c r="I64"/>
  <c r="I60"/>
  <c r="AZ115" i="8" s="1"/>
  <c r="F60" i="3"/>
  <c r="F63"/>
  <c r="F65"/>
  <c r="I69"/>
  <c r="I66"/>
  <c r="L60"/>
  <c r="L62"/>
  <c r="F59"/>
  <c r="I73"/>
  <c r="C53"/>
  <c r="C55"/>
  <c r="F69"/>
  <c r="F72"/>
  <c r="F53"/>
  <c r="I68"/>
  <c r="C60"/>
  <c r="L72"/>
  <c r="C56"/>
  <c r="C65"/>
  <c r="C68"/>
  <c r="L55"/>
  <c r="I54"/>
  <c r="C73"/>
  <c r="C71"/>
  <c r="I58"/>
  <c r="C67"/>
  <c r="F57"/>
  <c r="Q605" i="8"/>
  <c r="B46" i="6"/>
  <c r="BG603" i="8"/>
  <c r="BG604" s="1"/>
  <c r="BP603"/>
  <c r="BP604" s="1"/>
  <c r="AZ109"/>
  <c r="AL603"/>
  <c r="AL604" s="1"/>
  <c r="O602"/>
  <c r="BH603"/>
  <c r="BH604" s="1"/>
  <c r="BD14"/>
  <c r="BA602"/>
  <c r="BA600"/>
  <c r="M33" i="5"/>
  <c r="U20" i="4"/>
  <c r="P33" i="5"/>
  <c r="BC9" i="8" l="1"/>
  <c r="BB9"/>
  <c r="BC14"/>
  <c r="BB14"/>
  <c r="BC26"/>
  <c r="BB26"/>
  <c r="BC162"/>
  <c r="BB162"/>
  <c r="BC5"/>
  <c r="BB5"/>
  <c r="BC116"/>
  <c r="BB116"/>
  <c r="BC148"/>
  <c r="BB148"/>
  <c r="L68" i="3"/>
  <c r="L71"/>
  <c r="AZ470" i="8"/>
  <c r="AZ50"/>
  <c r="AZ68"/>
  <c r="AZ479"/>
  <c r="AZ493"/>
  <c r="R59" i="6"/>
  <c r="F66" i="3"/>
  <c r="L66"/>
  <c r="AZ166" i="8" s="1"/>
  <c r="I53" i="3"/>
  <c r="I70"/>
  <c r="I56"/>
  <c r="F58"/>
  <c r="L56"/>
  <c r="AZ145" i="8" s="1"/>
  <c r="C62" i="3"/>
  <c r="C64"/>
  <c r="L70"/>
  <c r="L73"/>
  <c r="L67"/>
  <c r="L69"/>
  <c r="C66"/>
  <c r="O603" i="8"/>
  <c r="O604" s="1"/>
  <c r="O606" s="1"/>
  <c r="AZ54"/>
  <c r="AZ108"/>
  <c r="AZ134"/>
  <c r="AZ270"/>
  <c r="AZ27"/>
  <c r="AZ58"/>
  <c r="AZ176"/>
  <c r="AZ41"/>
  <c r="AZ83"/>
  <c r="AZ21"/>
  <c r="AZ151"/>
  <c r="AZ114"/>
  <c r="AZ63"/>
  <c r="AZ305"/>
  <c r="AZ80"/>
  <c r="AZ24"/>
  <c r="AZ569"/>
  <c r="AZ361"/>
  <c r="AZ14"/>
  <c r="AZ148"/>
  <c r="AZ135"/>
  <c r="AZ141"/>
  <c r="AZ137"/>
  <c r="AZ133"/>
  <c r="AZ67"/>
  <c r="AZ32"/>
  <c r="AZ51"/>
  <c r="AZ34"/>
  <c r="AZ534"/>
  <c r="AZ99"/>
  <c r="AZ81"/>
  <c r="AZ132"/>
  <c r="AZ76"/>
  <c r="AZ22"/>
  <c r="AZ112"/>
  <c r="AZ93"/>
  <c r="AZ559"/>
  <c r="AZ126"/>
  <c r="AZ348"/>
  <c r="AZ200"/>
  <c r="AZ116"/>
  <c r="AZ143"/>
  <c r="AZ30"/>
  <c r="AZ66"/>
  <c r="AZ184"/>
  <c r="AZ136"/>
  <c r="AZ403"/>
  <c r="AZ101"/>
  <c r="BA603"/>
  <c r="BA604" s="1"/>
  <c r="AY361" l="1"/>
  <c r="AZ165"/>
  <c r="AZ154"/>
  <c r="AZ94"/>
  <c r="AZ591"/>
  <c r="AZ104"/>
  <c r="AZ163"/>
  <c r="AZ33"/>
  <c r="AZ229"/>
  <c r="AZ85"/>
  <c r="BQ30"/>
  <c r="BQ58"/>
  <c r="AY58"/>
  <c r="BQ56"/>
  <c r="AY56"/>
  <c r="BQ7"/>
  <c r="AY7"/>
  <c r="BQ137"/>
  <c r="AY137"/>
  <c r="BQ99"/>
  <c r="AY99"/>
  <c r="BQ134"/>
  <c r="AY134"/>
  <c r="BQ114"/>
  <c r="AZ11"/>
  <c r="AZ78"/>
  <c r="AZ565"/>
  <c r="AZ160"/>
  <c r="AZ267"/>
  <c r="AZ150"/>
  <c r="AZ88"/>
  <c r="AZ100"/>
  <c r="AZ387"/>
  <c r="U21" i="4"/>
  <c r="Y61" i="8" l="1"/>
  <c r="BJ61"/>
  <c r="BJ114"/>
  <c r="Y114"/>
  <c r="BJ32"/>
  <c r="Y32"/>
  <c r="BJ85"/>
  <c r="Y85"/>
  <c r="BC160"/>
  <c r="AY30"/>
  <c r="BQ78"/>
  <c r="AY78"/>
  <c r="AZ600"/>
  <c r="AZ602"/>
  <c r="AY61" l="1"/>
  <c r="BK61"/>
  <c r="BD61"/>
  <c r="BK114"/>
  <c r="BD114"/>
  <c r="AY114"/>
  <c r="BK32"/>
  <c r="AY32"/>
  <c r="BD32"/>
  <c r="BJ165"/>
  <c r="BJ600" s="1"/>
  <c r="Y165"/>
  <c r="BK85"/>
  <c r="BD85"/>
  <c r="AZ603"/>
  <c r="AZ604" s="1"/>
  <c r="BQ34"/>
  <c r="AY34"/>
  <c r="BC32" l="1"/>
  <c r="BB32"/>
  <c r="BC61"/>
  <c r="BB61"/>
  <c r="BC85"/>
  <c r="BB85"/>
  <c r="BC114"/>
  <c r="BB114"/>
  <c r="BK165"/>
  <c r="AY165"/>
  <c r="BD165"/>
  <c r="AW600"/>
  <c r="AW602"/>
  <c r="AY85"/>
  <c r="BC165" l="1"/>
  <c r="BB165"/>
  <c r="AW603"/>
  <c r="AW604" s="1"/>
  <c r="BQ50"/>
  <c r="BQ602" s="1"/>
  <c r="AX600"/>
  <c r="AY50"/>
  <c r="AX602"/>
  <c r="AX603" l="1"/>
  <c r="AX604" s="1"/>
  <c r="AV605" s="1"/>
  <c r="BQ600"/>
  <c r="BQ603" s="1"/>
  <c r="BQ604" s="1"/>
  <c r="M50" i="3" l="1"/>
  <c r="AZ607" i="8" l="1"/>
  <c r="M51" i="3"/>
  <c r="AZ606" i="8" l="1"/>
  <c r="U600"/>
  <c r="U602"/>
  <c r="Y11"/>
  <c r="BD11" s="1"/>
  <c r="BB11" s="1"/>
  <c r="BB602" l="1"/>
  <c r="BB600"/>
  <c r="U603"/>
  <c r="U604" s="1"/>
  <c r="BD600"/>
  <c r="BD602"/>
  <c r="BC11"/>
  <c r="BK11"/>
  <c r="AY11"/>
  <c r="Y602"/>
  <c r="Y600"/>
  <c r="BB603" l="1"/>
  <c r="BB604" s="1"/>
  <c r="Y603"/>
  <c r="Y604" s="1"/>
  <c r="AY605" s="1"/>
  <c r="BD603"/>
  <c r="BD604" s="1"/>
  <c r="BC602"/>
  <c r="BC600"/>
  <c r="BK602"/>
  <c r="BK600"/>
  <c r="AY600"/>
  <c r="AY602"/>
  <c r="AY603" l="1"/>
  <c r="AY604" s="1"/>
  <c r="AY606" s="1"/>
  <c r="BC603"/>
  <c r="BC604" s="1"/>
  <c r="BK603"/>
  <c r="BK604" s="1"/>
</calcChain>
</file>

<file path=xl/sharedStrings.xml><?xml version="1.0" encoding="utf-8"?>
<sst xmlns="http://schemas.openxmlformats.org/spreadsheetml/2006/main" count="6686" uniqueCount="1367">
  <si>
    <r>
      <rPr>
        <b/>
        <sz val="16"/>
        <color indexed="8"/>
        <rFont val="Arial"/>
        <family val="2"/>
      </rPr>
      <t>QATAR FOUNDATION - EDUCATION CITY
NURSERY PROJECT - CONTRACT NO: QF/PD/12/21181</t>
    </r>
    <r>
      <rPr>
        <sz val="16"/>
        <color indexed="8"/>
        <rFont val="Arial"/>
        <family val="2"/>
      </rPr>
      <t xml:space="preserve">
</t>
    </r>
    <r>
      <rPr>
        <b/>
        <sz val="16"/>
        <color indexed="8"/>
        <rFont val="Verdana"/>
        <family val="2"/>
      </rPr>
      <t>matrix 1 for Plants to be produced Regularly  with production and other projects</t>
    </r>
  </si>
  <si>
    <t>S/N</t>
  </si>
  <si>
    <t>Type</t>
  </si>
  <si>
    <t>Group</t>
  </si>
  <si>
    <t>As Main Matrix Classification</t>
  </si>
  <si>
    <t>BOQ Page Ref</t>
  </si>
  <si>
    <t>Plant categories</t>
  </si>
  <si>
    <t>corrective Plant categories</t>
  </si>
  <si>
    <t>Pot Size
(mm)</t>
  </si>
  <si>
    <t>Plant Size
(mm)</t>
  </si>
  <si>
    <t>Status</t>
  </si>
  <si>
    <t>Familly Name</t>
  </si>
  <si>
    <t>Name of Species(Botanical)</t>
  </si>
  <si>
    <t>Arabic Name</t>
  </si>
  <si>
    <t>Actual Nursery specification mtr/min hight</t>
  </si>
  <si>
    <t>Qty 
Unit</t>
  </si>
  <si>
    <t xml:space="preserve">  Qty.   Produced in Nursery 1yearas 100% of specification</t>
  </si>
  <si>
    <t xml:space="preserve">  Qty.   Produced in Nursery 1year as 50% specification</t>
  </si>
  <si>
    <t>Qty.  as  per Cont. 1st year</t>
  </si>
  <si>
    <t xml:space="preserve">  Qty.   Produced in Nursery 2nd year as 100%</t>
  </si>
  <si>
    <t xml:space="preserve">  Qty.   Produced in Nursery 2nd year as 50%</t>
  </si>
  <si>
    <t>Qty.  as  per Cont. 2st year</t>
  </si>
  <si>
    <t xml:space="preserve">  Qty.   Produced in Nursery 3sd year  </t>
  </si>
  <si>
    <t>Qty.  as  per Cont. 3st year</t>
  </si>
  <si>
    <t xml:space="preserve">Total Production </t>
  </si>
  <si>
    <t>Total 
Qty.of 7 years</t>
  </si>
  <si>
    <t>WGS</t>
  </si>
  <si>
    <t>O2P</t>
  </si>
  <si>
    <t>SSWIP</t>
  </si>
  <si>
    <t>QF/HQ</t>
  </si>
  <si>
    <t>Qty</t>
  </si>
  <si>
    <t>Total Available</t>
  </si>
  <si>
    <t>Total Qty.of projects</t>
  </si>
  <si>
    <t>Rate QR.for year 1</t>
  </si>
  <si>
    <t>Matrix1&amp;2</t>
  </si>
  <si>
    <t>Amount for 100%/QR</t>
  </si>
  <si>
    <t>Amount for 40%/QR</t>
  </si>
  <si>
    <t>Total/QR</t>
  </si>
  <si>
    <t>4th year</t>
  </si>
  <si>
    <t>5th year</t>
  </si>
  <si>
    <t>6th year</t>
  </si>
  <si>
    <t>7th year</t>
  </si>
  <si>
    <t>Amount of  Plants Deliverd</t>
  </si>
  <si>
    <t>HQ/city</t>
  </si>
  <si>
    <t>Total Qty</t>
  </si>
  <si>
    <t xml:space="preserve">Balance Quantity to be advised Later </t>
  </si>
  <si>
    <t>Qty Deliverd</t>
  </si>
  <si>
    <t>Qty deliverd</t>
  </si>
  <si>
    <t>Bill No. 3B</t>
  </si>
  <si>
    <t>Type B - Shr, GC, Grass, Vines and Annuals</t>
  </si>
  <si>
    <t>Shrubs,GC,Grass,Vines,Annuals</t>
  </si>
  <si>
    <t>3/B/13</t>
  </si>
  <si>
    <t>Annual</t>
  </si>
  <si>
    <t>Canceled</t>
  </si>
  <si>
    <t>Aaronshohnia factorovskyi</t>
  </si>
  <si>
    <t>قراص,قرقاص,جريس</t>
  </si>
  <si>
    <t>Nos.</t>
  </si>
  <si>
    <t>Matrix2</t>
  </si>
  <si>
    <t>Bill No. 3D</t>
  </si>
  <si>
    <t>Type D - Vegetables</t>
  </si>
  <si>
    <t>Heritage Garden</t>
  </si>
  <si>
    <t>3/D/40</t>
  </si>
  <si>
    <t>Vegetable Seed</t>
  </si>
  <si>
    <t>Abelmoschus esculentus (Okra)</t>
  </si>
  <si>
    <t>بامياء</t>
  </si>
  <si>
    <t>M2</t>
  </si>
  <si>
    <t>Bill No. 3A</t>
  </si>
  <si>
    <t>Type A - Tree</t>
  </si>
  <si>
    <t>Trees</t>
  </si>
  <si>
    <t>3/A/1</t>
  </si>
  <si>
    <t>Tree</t>
  </si>
  <si>
    <t>Seedlings/whips less than 500 mm high</t>
  </si>
  <si>
    <t>Fabaceae</t>
  </si>
  <si>
    <t>Acacia Arabica /Acacia nilotica (L.) Delile</t>
  </si>
  <si>
    <t>السنط العربي/القرط(الطلح)</t>
  </si>
  <si>
    <t>1.2-1.5m</t>
  </si>
  <si>
    <t xml:space="preserve">Matrix1 </t>
  </si>
  <si>
    <t>3/A/2</t>
  </si>
  <si>
    <t>Acacia ehrenbergiana</t>
  </si>
  <si>
    <t>سلم</t>
  </si>
  <si>
    <t>0.5-0.6m</t>
  </si>
  <si>
    <t>Type B - Trees</t>
  </si>
  <si>
    <t>3/B/1</t>
  </si>
  <si>
    <t xml:space="preserve">1.5 to 1.8 m high from base trunk to underside of crown, 2.1 m highfrom base of trunk to top of crown, 15 mm calliper, 47 mm girth at calliper </t>
  </si>
  <si>
    <t>Acacia farnesiana/Vachellia farnesiana</t>
  </si>
  <si>
    <t>السنط الحلو(الفتنة-عنبر)/</t>
  </si>
  <si>
    <t>1-1.5m</t>
  </si>
  <si>
    <t>Bill No. 3E</t>
  </si>
  <si>
    <t>Garden Trees</t>
  </si>
  <si>
    <t>Quranic Garden</t>
  </si>
  <si>
    <t>3/E/1</t>
  </si>
  <si>
    <t>Field dug,2 m to 5 m high from base of trunk to top of crown</t>
  </si>
  <si>
    <t xml:space="preserve">Acacia oerfota </t>
  </si>
  <si>
    <t>عرفط</t>
  </si>
  <si>
    <t>Bill No. 3F</t>
  </si>
  <si>
    <t>Type B - Vines and GC</t>
  </si>
  <si>
    <t>Future Non Specified</t>
  </si>
  <si>
    <t>3/F/24</t>
  </si>
  <si>
    <t>Vine &amp; GC</t>
  </si>
  <si>
    <t>Acacia ongerop (Acacia redolens) (Prostrate Acacia)</t>
  </si>
  <si>
    <t>3/E/2</t>
  </si>
  <si>
    <t>Acacia raddiata</t>
  </si>
  <si>
    <t>طلح</t>
  </si>
  <si>
    <t>3/B/2</t>
  </si>
  <si>
    <t xml:space="preserve">1.8 to 2 m high from base trunk to underside of crown,  20 mm calliper, 63 mm girth at calliper </t>
  </si>
  <si>
    <t>Acacia salicina</t>
  </si>
  <si>
    <t>أكاسيا صفصافية الأوراق</t>
  </si>
  <si>
    <t>0.3-0.5m</t>
  </si>
  <si>
    <t>3/B/3</t>
  </si>
  <si>
    <t>Acacia stenophylla</t>
  </si>
  <si>
    <t>1-2m</t>
  </si>
  <si>
    <t>Field dug,3 m to 6 m high from base of trunk to top of crown</t>
  </si>
  <si>
    <t xml:space="preserve">Acacia tortilis </t>
  </si>
  <si>
    <t>السنط الشائك(السمر)</t>
  </si>
  <si>
    <t>3/A/3</t>
  </si>
  <si>
    <t>Acacia tortilis syn acacia raddiana</t>
  </si>
  <si>
    <t>0.8-1.2m</t>
  </si>
  <si>
    <t>3/B/4</t>
  </si>
  <si>
    <t xml:space="preserve">1.5 to 1.8 m high from base trunk to underside of crown, 2.1 m high dfrom base of trunk to top of crown, 15 mm calliper, 47 mm girth at calliper </t>
  </si>
  <si>
    <t>Not Available</t>
  </si>
  <si>
    <t>Acacia willardiana</t>
  </si>
  <si>
    <t>Type C - Shrubs</t>
  </si>
  <si>
    <t>3/F/36</t>
  </si>
  <si>
    <t>Shrub</t>
  </si>
  <si>
    <t>Acalypha wilkesiana (Copper Leaf)</t>
  </si>
  <si>
    <t>Quranic Garden - Seed &amp; Rhizomes</t>
  </si>
  <si>
    <t>3/E/19</t>
  </si>
  <si>
    <t>Perennial rhizome</t>
  </si>
  <si>
    <t>Grass</t>
  </si>
  <si>
    <t>field collected specimens</t>
  </si>
  <si>
    <t xml:space="preserve">Acorus calamus </t>
  </si>
  <si>
    <t>Kashab Al-Zerarah</t>
  </si>
  <si>
    <t>Type B - Shrubs</t>
  </si>
  <si>
    <t>3/F/14</t>
  </si>
  <si>
    <t>Adenium obesum (Mock Azalea, Desert Rose)</t>
  </si>
  <si>
    <t>Type A - Grass</t>
  </si>
  <si>
    <t>3/F/4</t>
  </si>
  <si>
    <t>Aeluropus lagopoides</t>
  </si>
  <si>
    <t>عكرش</t>
  </si>
  <si>
    <t>Type A - Shr, GC, Grass, Vines and Annuals</t>
  </si>
  <si>
    <t>3/A/8</t>
  </si>
  <si>
    <t xml:space="preserve">Aerva javanica </t>
  </si>
  <si>
    <t>تويم ,طرف,راء</t>
  </si>
  <si>
    <t>0.3-0.4m</t>
  </si>
  <si>
    <t>Type B - Accents</t>
  </si>
  <si>
    <t>3/F/28</t>
  </si>
  <si>
    <t>Accent</t>
  </si>
  <si>
    <t>Succulent</t>
  </si>
  <si>
    <t>Agave americana (Century Plant)</t>
  </si>
  <si>
    <t>Agave filifera (Thread Leaf Agave)</t>
  </si>
  <si>
    <t>3/F/29</t>
  </si>
  <si>
    <t>Agave sisilana (Sisal)</t>
  </si>
  <si>
    <t>Agave vilmoriana (Octopus Agave)</t>
  </si>
  <si>
    <t>3/F/30</t>
  </si>
  <si>
    <t>Agave weberi (Smooth-leaf Agave)</t>
  </si>
  <si>
    <t>Creeper</t>
  </si>
  <si>
    <t>Aizoon canariense</t>
  </si>
  <si>
    <t>حدق, جفنة ,دعاع</t>
  </si>
  <si>
    <t>Type A - Shrubs</t>
  </si>
  <si>
    <t>3/F/1</t>
  </si>
  <si>
    <t>Alhagi graecorum</t>
  </si>
  <si>
    <t>3/A/9</t>
  </si>
  <si>
    <t>20 mm liner</t>
  </si>
  <si>
    <t>Alhaqi maurorum</t>
  </si>
  <si>
    <t>العاقول ,شوك الجمل</t>
  </si>
  <si>
    <t>0.1m</t>
  </si>
  <si>
    <t>Type D - Vines and GC</t>
  </si>
  <si>
    <t>3/F/81</t>
  </si>
  <si>
    <t>Allamanda cathartica (Golden Trumpet)</t>
  </si>
  <si>
    <t>3/D/41</t>
  </si>
  <si>
    <t>Allium ascalonicum (Shallots)</t>
  </si>
  <si>
    <t>بصل</t>
  </si>
  <si>
    <t>Quranic Garden Perennials, Creepers, climbers, annuals and vegetables</t>
  </si>
  <si>
    <t>3/E/11</t>
  </si>
  <si>
    <t>Annual bulb</t>
  </si>
  <si>
    <t>Bulb</t>
  </si>
  <si>
    <t>Allium cepa (Onion)</t>
  </si>
  <si>
    <t>Type D - Shrubs</t>
  </si>
  <si>
    <t>3/F/69</t>
  </si>
  <si>
    <t>Allium cepa (Wild Onion, Egyptian Onion)</t>
  </si>
  <si>
    <t>Allium porrum</t>
  </si>
  <si>
    <t>كرات</t>
  </si>
  <si>
    <t>Allium porrum (Leek)</t>
  </si>
  <si>
    <t>3/D/42</t>
  </si>
  <si>
    <t>Allium sativa (Onion)</t>
  </si>
  <si>
    <t>3/E/12</t>
  </si>
  <si>
    <t>Allium sativum</t>
  </si>
  <si>
    <t>ثوم</t>
  </si>
  <si>
    <t>Allium sativum (Garlic)</t>
  </si>
  <si>
    <t>3/D/43</t>
  </si>
  <si>
    <t>Allium schoenoprasum (Chives)</t>
  </si>
  <si>
    <t>Bill No. 3C</t>
  </si>
  <si>
    <t>Type C - Shr, GC, Grass, Vines and Annuals</t>
  </si>
  <si>
    <t>3/C/6</t>
  </si>
  <si>
    <t>Aloe vera</t>
  </si>
  <si>
    <t>صبر</t>
  </si>
  <si>
    <t>0.2m</t>
  </si>
  <si>
    <t>Perennial</t>
  </si>
  <si>
    <t xml:space="preserve">Aloe vera </t>
  </si>
  <si>
    <t>0.5m</t>
  </si>
  <si>
    <t>Type C - Vines and GC</t>
  </si>
  <si>
    <t>3/F/50</t>
  </si>
  <si>
    <t>GC</t>
  </si>
  <si>
    <t>Alternanthera ficoidea - Gold (Golden Joseph's Coat)</t>
  </si>
  <si>
    <t>3/F/51</t>
  </si>
  <si>
    <t>Alternanthera ficoidea - Green (Green Joseph's Coat)</t>
  </si>
  <si>
    <t>Alternanthera ficoidea - Purple (Purple Joseph's Coat)</t>
  </si>
  <si>
    <t>3/F/52</t>
  </si>
  <si>
    <t>Alternanthera ficoidea - Red (Red Joseph's Coat)</t>
  </si>
  <si>
    <t>Type A - Unclassified</t>
  </si>
  <si>
    <t>3/F/9</t>
  </si>
  <si>
    <t>Althaea ludwigii</t>
  </si>
  <si>
    <t>Ambrosia deltoidea</t>
  </si>
  <si>
    <t>3/F/15</t>
  </si>
  <si>
    <t>Ambrosia dumosa (White Bursage)</t>
  </si>
  <si>
    <t>Type A - Annuals</t>
  </si>
  <si>
    <t>3/F/6</t>
  </si>
  <si>
    <t>Ammi majus</t>
  </si>
  <si>
    <t>خلة, نينية</t>
  </si>
  <si>
    <t xml:space="preserve">Anabasis setifera </t>
  </si>
  <si>
    <t>/حمض الأرنب, شعيران</t>
  </si>
  <si>
    <t>Type C - seed</t>
  </si>
  <si>
    <t>3/C/27</t>
  </si>
  <si>
    <t>Anagallis arvensis</t>
  </si>
  <si>
    <t>عين القط</t>
  </si>
  <si>
    <t>Type A - Seed</t>
  </si>
  <si>
    <t>3/A/18</t>
  </si>
  <si>
    <t>Anastatica hierochuntica</t>
  </si>
  <si>
    <t>كف مريم ,برقان,قفيئة</t>
  </si>
  <si>
    <t>Andrachne telephoides</t>
  </si>
  <si>
    <r>
      <t xml:space="preserve">Anethum graveleons </t>
    </r>
    <r>
      <rPr>
        <sz val="10"/>
        <color theme="3" tint="-0.249977111117893"/>
        <rFont val="Verdana"/>
        <family val="2"/>
      </rPr>
      <t>(Dill)</t>
    </r>
  </si>
  <si>
    <t>شبت</t>
  </si>
  <si>
    <t>Type B - Seed</t>
  </si>
  <si>
    <t>3/B/25</t>
  </si>
  <si>
    <t>Anthemis deserti</t>
  </si>
  <si>
    <t>نوار,أقحوان الصحراء,ربيان أصفر</t>
  </si>
  <si>
    <t>3/C/7</t>
  </si>
  <si>
    <t>Anthemis nobilis</t>
  </si>
  <si>
    <t>بابونج</t>
  </si>
  <si>
    <t>Vine &amp; Creeper</t>
  </si>
  <si>
    <t>Antigonon leptopus (Coral Vine)</t>
  </si>
  <si>
    <t>Apium graveolens (Celery)</t>
  </si>
  <si>
    <t>بقدونس</t>
  </si>
  <si>
    <t>3/F/53</t>
  </si>
  <si>
    <t>Aptenia cordifolia (Baby Sun Rose)</t>
  </si>
  <si>
    <t>3/E/3</t>
  </si>
  <si>
    <t xml:space="preserve">Aquilaria agallocha </t>
  </si>
  <si>
    <t>عود</t>
  </si>
  <si>
    <t>Arnebia decumbens</t>
  </si>
  <si>
    <t>كاحل</t>
  </si>
  <si>
    <t>3/A/10</t>
  </si>
  <si>
    <t>Arnebia hispidissima</t>
  </si>
  <si>
    <t>كاحل, مليح, حشيشة الأرنب</t>
  </si>
  <si>
    <t>Artemisia absinthium</t>
  </si>
  <si>
    <t>بعيتران</t>
  </si>
  <si>
    <t>3/C/8</t>
  </si>
  <si>
    <t>Artemisia dracunculus</t>
  </si>
  <si>
    <t>Arthrocnemum glaucum</t>
  </si>
  <si>
    <t>/شنان, عجرم, حمض</t>
  </si>
  <si>
    <t>Type D - Shr, GC, Grass, Vines and Annuals</t>
  </si>
  <si>
    <t>3/D/10</t>
  </si>
  <si>
    <t>Arundo donax</t>
  </si>
  <si>
    <t>قصب,بوص</t>
  </si>
  <si>
    <t>Asparagus densiflorus 'Myers' (Myers Asparagus)</t>
  </si>
  <si>
    <t>3/F/54</t>
  </si>
  <si>
    <t>Asparagus densiflorus 'Sprengeri' (Sprenger's Asparagus)</t>
  </si>
  <si>
    <t>3/D/44</t>
  </si>
  <si>
    <t>Asparagus officinalis (Asparagus)</t>
  </si>
  <si>
    <t>اسبرجس</t>
  </si>
  <si>
    <t>3/A/19</t>
  </si>
  <si>
    <t>Shrub (saline)</t>
  </si>
  <si>
    <t>Asphodelus tenuifolius</t>
  </si>
  <si>
    <t xml:space="preserve"> بروق</t>
  </si>
  <si>
    <t>3/B/26</t>
  </si>
  <si>
    <t>Asteriscus pygmaeus</t>
  </si>
  <si>
    <t>Astragalus spinosus (Milk Vetch)</t>
  </si>
  <si>
    <t>Type A Creeper</t>
  </si>
  <si>
    <t>3/F/5</t>
  </si>
  <si>
    <t>Astralagus corrugates</t>
  </si>
  <si>
    <t>Astralagus eremophilus</t>
  </si>
  <si>
    <t>3/E/13</t>
  </si>
  <si>
    <t>Desert Perennial</t>
  </si>
  <si>
    <t>Astralagus spinosus</t>
  </si>
  <si>
    <t>/Katad</t>
  </si>
  <si>
    <t>Astralagus tribuloides</t>
  </si>
  <si>
    <t>رخامي,بيض الجمل</t>
  </si>
  <si>
    <t>Astrophytum ornatum (Monk's Hood)</t>
  </si>
  <si>
    <t>صباريات</t>
  </si>
  <si>
    <t>Atractylis carduus</t>
  </si>
  <si>
    <t>3/B/14</t>
  </si>
  <si>
    <t>Atriplex canescens</t>
  </si>
  <si>
    <t>رغل مبيض</t>
  </si>
  <si>
    <t>0.2-0.3m</t>
  </si>
  <si>
    <t>3/F/16</t>
  </si>
  <si>
    <t>Atriplex halimus</t>
  </si>
  <si>
    <t>Atriplex lentiformis ssp breweri (Brewer's Saltbush, Quail Bush)</t>
  </si>
  <si>
    <t>Atriplex leucoclada</t>
  </si>
  <si>
    <t>,رغل</t>
  </si>
  <si>
    <t>0.3m</t>
  </si>
  <si>
    <t>Avena sterilis</t>
  </si>
  <si>
    <t>3/B/5</t>
  </si>
  <si>
    <t>Meliaceae</t>
  </si>
  <si>
    <t>Azardirachta indica</t>
  </si>
  <si>
    <t>النيم/زنزلخت</t>
  </si>
  <si>
    <t>1.8-2.5m</t>
  </si>
  <si>
    <t>3/B/15</t>
  </si>
  <si>
    <t>Baileya multiradiata</t>
  </si>
  <si>
    <t>ماري غولد صحراوية</t>
  </si>
  <si>
    <t>3/F/37</t>
  </si>
  <si>
    <t>Berlandiera lyrata (Chocolate Daisy, Green Eyes)</t>
  </si>
  <si>
    <t>Beta vulgaris (Beet)</t>
  </si>
  <si>
    <t>شوندر أحمر</t>
  </si>
  <si>
    <t>3/D/45</t>
  </si>
  <si>
    <t>Beta vulgaris cicla (Swiss Chard)</t>
  </si>
  <si>
    <t>سلق</t>
  </si>
  <si>
    <t>Blepharis ciliaris</t>
  </si>
  <si>
    <t>شوك الضب, نقي, نقيل</t>
  </si>
  <si>
    <t>Bougainvillea 'Barbara Karst' (Barbara Karst Bougainvillea)</t>
  </si>
  <si>
    <t>3/F/55</t>
  </si>
  <si>
    <t>Bougainvillea Buttiana 'Madonna' (Madonna Bougainvillea)</t>
  </si>
  <si>
    <t>Bougainvillea Buttiana 'Temple Fire' (Temple Fire Bougainvillea)</t>
  </si>
  <si>
    <t>Bougainvillea california gold</t>
  </si>
  <si>
    <t>جهنمية لون أصفر ذهبي إلى البرتقالي</t>
  </si>
  <si>
    <t>Bougainvillea 'Crimson Jewel' (Crimson Jewel Bougainvillea)</t>
  </si>
  <si>
    <t>3/F/56</t>
  </si>
  <si>
    <t>Bougainvillea glabra (Bougainvillea)</t>
  </si>
  <si>
    <t>3/F/38</t>
  </si>
  <si>
    <t>Bougainvillea 'La Jolla' (Temple Fire Bougainvillea)</t>
  </si>
  <si>
    <t>Bougainvillea 'Raspberry Ice' (Raspberry Ice Bougainvillea)</t>
  </si>
  <si>
    <t>3/F/39</t>
  </si>
  <si>
    <t>Bougainvillea 'Rosenka' (Rosenka   Bougainvillea)</t>
  </si>
  <si>
    <t>Bougainvillea 'San Diego' (San Diego Bougainvillea)</t>
  </si>
  <si>
    <t>Bougainvillea 'Superstition Gold' (Superstition Gold Bougainvillea)</t>
  </si>
  <si>
    <t>1m</t>
  </si>
  <si>
    <t>3/F/40</t>
  </si>
  <si>
    <t>Bougainvillea 'Torch Glow' (Torch Glow Bougainvillea)</t>
  </si>
  <si>
    <t>3/C/9</t>
  </si>
  <si>
    <t>Bougainvillea tropical bouquet</t>
  </si>
  <si>
    <t>جهنمية متعددة الألوان</t>
  </si>
  <si>
    <t>Brassica caulorapa (Kohlrabi)</t>
  </si>
  <si>
    <t>كرنب</t>
  </si>
  <si>
    <t>Brassica nigra</t>
  </si>
  <si>
    <t>خردل</t>
  </si>
  <si>
    <t>3/E/20</t>
  </si>
  <si>
    <t>Annual seed</t>
  </si>
  <si>
    <t xml:space="preserve">Seed </t>
  </si>
  <si>
    <t>3/D/46</t>
  </si>
  <si>
    <t>Brassica oleracea (Cabbage)</t>
  </si>
  <si>
    <t>ملفوف</t>
  </si>
  <si>
    <t>3/D/47</t>
  </si>
  <si>
    <t>Brassica oleracea var. cashmere (Cauliflower)</t>
  </si>
  <si>
    <t>قرنبيط</t>
  </si>
  <si>
    <t>Brassica oleracea var. emperor (Broccoli)</t>
  </si>
  <si>
    <t>قرنبيط أخضر</t>
  </si>
  <si>
    <t>Brassica oleracea var. Red Russian, Vates and Winterbor (Kale)</t>
  </si>
  <si>
    <t>3/D/48</t>
  </si>
  <si>
    <t>Brassica oleracea var. widgeon (Brussel Sprout)</t>
  </si>
  <si>
    <t>ملفوف بروسل</t>
  </si>
  <si>
    <t>Brassica rapa var. rapa (Turnip)</t>
  </si>
  <si>
    <t>لفت</t>
  </si>
  <si>
    <t>Grass (seed to fully cover)</t>
  </si>
  <si>
    <t>Buchloe dactyloides</t>
  </si>
  <si>
    <t>Field dug,1 m to 3 m high from base of trunk to top of crown</t>
  </si>
  <si>
    <t xml:space="preserve">Buxus dioica </t>
  </si>
  <si>
    <t>/Al Katam</t>
  </si>
  <si>
    <t>Katam</t>
  </si>
  <si>
    <t>3/F/17</t>
  </si>
  <si>
    <t>Caesalpinia gilliesii (Yellow Paradise Bush)</t>
  </si>
  <si>
    <t>Caesalpinia pulcherrima (Red Bird of Paradise)</t>
  </si>
  <si>
    <t>Type D - Seed &amp; Rhizomes</t>
  </si>
  <si>
    <t>3/D/60</t>
  </si>
  <si>
    <t>Annual/Seed &amp; Rhizomes</t>
  </si>
  <si>
    <t>Calendula arvensis</t>
  </si>
  <si>
    <t>عين البقر,عين الشمس</t>
  </si>
  <si>
    <t>3/F/18</t>
  </si>
  <si>
    <t>Calliandra californica (Baja Fairy Duster)</t>
  </si>
  <si>
    <t>Calliandra eriophylla (Desert Fairy Duster)</t>
  </si>
  <si>
    <t>2m</t>
  </si>
  <si>
    <t>3/F/2</t>
  </si>
  <si>
    <t>Calligonum comosum</t>
  </si>
  <si>
    <t>الأرطة/عبل</t>
  </si>
  <si>
    <t>3/F/70</t>
  </si>
  <si>
    <t>Callistemon viminalis 'Little John'</t>
  </si>
  <si>
    <t>Calotropis procera</t>
  </si>
  <si>
    <t>عشار, أشخار</t>
  </si>
  <si>
    <t>0.3-1m</t>
  </si>
  <si>
    <t>Campsis radicans</t>
  </si>
  <si>
    <t>بجنونيا</t>
  </si>
  <si>
    <t>Type D - Accents</t>
  </si>
  <si>
    <t>3/F/87</t>
  </si>
  <si>
    <t>Canna Indica - 'President' (President Canna)</t>
  </si>
  <si>
    <t>Canna Indica - 'Tropicanna' (Tropicanna Canna)</t>
  </si>
  <si>
    <t>3/B/16</t>
  </si>
  <si>
    <t>Capparis spinosa</t>
  </si>
  <si>
    <t>/شفلح</t>
  </si>
  <si>
    <t>Carissa macrocarpa</t>
  </si>
  <si>
    <t>كاريسا كبيرة الثمار</t>
  </si>
  <si>
    <t>3/F/19</t>
  </si>
  <si>
    <t>Carissa macrocarpa   syn carissa grandiflora (Natal Plum)</t>
  </si>
  <si>
    <t>3/F/25</t>
  </si>
  <si>
    <t>Carissa macrocarpa 'Green Carpet' (Natal Plum)</t>
  </si>
  <si>
    <t>3/D/11</t>
  </si>
  <si>
    <t>Carthamus tinctorius</t>
  </si>
  <si>
    <t>عصفر</t>
  </si>
  <si>
    <t>3/C/10</t>
  </si>
  <si>
    <t>Carum carvi</t>
  </si>
  <si>
    <t>كراوية</t>
  </si>
  <si>
    <t>Cassia alata</t>
  </si>
  <si>
    <t xml:space="preserve">Cassia italica </t>
  </si>
  <si>
    <t>3/B/17</t>
  </si>
  <si>
    <t>Cassia nemophila</t>
  </si>
  <si>
    <t>3/F/20</t>
  </si>
  <si>
    <t>Cassia wislizenii (Shrubby Cassia)</t>
  </si>
  <si>
    <t>3/A/20</t>
  </si>
  <si>
    <t>Cenchrus ciliaris</t>
  </si>
  <si>
    <t>سبط</t>
  </si>
  <si>
    <t>Centaura sinaica</t>
  </si>
  <si>
    <t>3/A/11</t>
  </si>
  <si>
    <t>Centaurea pseudosiniaca</t>
  </si>
  <si>
    <t>Cestrum diurnum</t>
  </si>
  <si>
    <t>ملكة النهار</t>
  </si>
  <si>
    <t>3/D/12</t>
  </si>
  <si>
    <t>Cestrum nocturnum</t>
  </si>
  <si>
    <t>ملكة الليل</t>
  </si>
  <si>
    <t>Chenopodium murale</t>
  </si>
  <si>
    <t>زربيح, خايسة, وراق, أبو عفين</t>
  </si>
  <si>
    <t>Type C - Trees</t>
  </si>
  <si>
    <t>3/C/1</t>
  </si>
  <si>
    <t>Bignoniaceae</t>
  </si>
  <si>
    <t>Chilopsis linearis</t>
  </si>
  <si>
    <t>الصفصاف الصحراوي</t>
  </si>
  <si>
    <t>Chloris virgata</t>
  </si>
  <si>
    <t>/خزمزم, سنيم</t>
  </si>
  <si>
    <t>Chrozophora oblongifolia</t>
  </si>
  <si>
    <t xml:space="preserve"> طنوم</t>
  </si>
  <si>
    <t>Chrozophora tinctoria</t>
  </si>
  <si>
    <t>طنوم, زريج</t>
  </si>
  <si>
    <t>3/F/10</t>
  </si>
  <si>
    <t>Chrysopogon aucheri</t>
  </si>
  <si>
    <t xml:space="preserve">Citrullus colocynthis </t>
  </si>
  <si>
    <t>حنظل, شري )ثمرة(, حدج</t>
  </si>
  <si>
    <t>Citrullus colocynthis (1000mm high)</t>
  </si>
  <si>
    <t>3/E/21</t>
  </si>
  <si>
    <t xml:space="preserve">Annual, creeper, seed </t>
  </si>
  <si>
    <t>Citrullus vulgaris</t>
  </si>
  <si>
    <t>بطيخ</t>
  </si>
  <si>
    <t>3/E/4</t>
  </si>
  <si>
    <t>Field dug,2 m to 3 m high from base of trunk to top of crown</t>
  </si>
  <si>
    <t>Citrus medina</t>
  </si>
  <si>
    <t>/Otrog أترج/كباد/</t>
  </si>
  <si>
    <t>3/F/31</t>
  </si>
  <si>
    <t>Cleistocactus strausii (Silver Torch Cactus)</t>
  </si>
  <si>
    <t>Cleome brachycarpa</t>
  </si>
  <si>
    <t>Cleome scaposa</t>
  </si>
  <si>
    <t>ظفرة, زفرة</t>
  </si>
  <si>
    <t>Clerodendron inerme (Indian Privet)</t>
  </si>
  <si>
    <t>3/F/57</t>
  </si>
  <si>
    <t>Clytostoma callistegioides (Violet Trumpet Vine)</t>
  </si>
  <si>
    <t>Convolulus buschiricus</t>
  </si>
  <si>
    <t>Type A - Vines</t>
  </si>
  <si>
    <t>Convolvulaceae pilosellifolius</t>
  </si>
  <si>
    <t>3/F/26</t>
  </si>
  <si>
    <t>Convolvulus cneorum (Bush Morning Glory)</t>
  </si>
  <si>
    <t>Convolvulus prostrates</t>
  </si>
  <si>
    <t>Corchorus depressus</t>
  </si>
  <si>
    <t>/ملخية البر</t>
  </si>
  <si>
    <t>Corchorus oliltorius</t>
  </si>
  <si>
    <t>ملوخية</t>
  </si>
  <si>
    <t>3/C/11</t>
  </si>
  <si>
    <t>Coriandrum sativum</t>
  </si>
  <si>
    <t>كزبرة</t>
  </si>
  <si>
    <t>Cornulaca monacantha</t>
  </si>
  <si>
    <t xml:space="preserve"> ثلاج, حاذ</t>
  </si>
  <si>
    <t>Cortaderia selloana</t>
  </si>
  <si>
    <t>3/E/14</t>
  </si>
  <si>
    <t>Costus speciosus</t>
  </si>
  <si>
    <t>/Kust</t>
  </si>
  <si>
    <t>3/F/82</t>
  </si>
  <si>
    <t>Costus speciosus (Spiral Ginger)</t>
  </si>
  <si>
    <t>Cressa cretica</t>
  </si>
  <si>
    <t>/نديوة</t>
  </si>
  <si>
    <t>Type D - Roses</t>
  </si>
  <si>
    <t>Roses</t>
  </si>
  <si>
    <t>3/D/26</t>
  </si>
  <si>
    <t>Crimson Bouquet 2000 Rosa x AARS (Crimson Bouquet 2000 AARS Rose)</t>
  </si>
  <si>
    <t>Type C - Accents</t>
  </si>
  <si>
    <t>3/F/63</t>
  </si>
  <si>
    <t>Crinum asiaticum (Grand Crinum Lily)</t>
  </si>
  <si>
    <t>3/D/13</t>
  </si>
  <si>
    <t>Shrub, BULBS</t>
  </si>
  <si>
    <t>Crocos sativus (Saffron)</t>
  </si>
  <si>
    <t>زعفران</t>
  </si>
  <si>
    <t>Crocus sativus</t>
  </si>
  <si>
    <t>3/F/71</t>
  </si>
  <si>
    <t>Cucumis melo (Cucumber)</t>
  </si>
  <si>
    <t>قثاء</t>
  </si>
  <si>
    <t>3/D/49</t>
  </si>
  <si>
    <t>Cucumis melo (Melon)</t>
  </si>
  <si>
    <t>بطيخ أصفر</t>
  </si>
  <si>
    <t>Cucumis prophetarum</t>
  </si>
  <si>
    <t>شري, هنيضلان, حدق</t>
  </si>
  <si>
    <t>Cucumis sativus (Cucumber)</t>
  </si>
  <si>
    <t>خيار</t>
  </si>
  <si>
    <t>Annual, climber, seed</t>
  </si>
  <si>
    <t>Cucumus melo</t>
  </si>
  <si>
    <t>3/E/22</t>
  </si>
  <si>
    <t>Annual, cimber seed</t>
  </si>
  <si>
    <t>Cucurbita maxima</t>
  </si>
  <si>
    <t xml:space="preserve">/cara Allaliيقطين </t>
  </si>
  <si>
    <t>Cucurbita pepo</t>
  </si>
  <si>
    <t>كوسا</t>
  </si>
  <si>
    <t>3/D/50</t>
  </si>
  <si>
    <t>Cucurbita pepo (Summer Squash)</t>
  </si>
  <si>
    <t>Cucurbita pepo (Zucchini)</t>
  </si>
  <si>
    <t>Cuminum cymunim</t>
  </si>
  <si>
    <t>كمون</t>
  </si>
  <si>
    <t>3/E/23</t>
  </si>
  <si>
    <t>Cymbopogon citratus</t>
  </si>
  <si>
    <t>حشيشة الليمون</t>
  </si>
  <si>
    <t>0.6-0.7m</t>
  </si>
  <si>
    <t>3/A/21</t>
  </si>
  <si>
    <t>Cymbopogon commutatis</t>
  </si>
  <si>
    <t>صخبر</t>
  </si>
  <si>
    <t>0.1-0.15m</t>
  </si>
  <si>
    <t>Cymbopogon parkeri</t>
  </si>
  <si>
    <t>3/E/15</t>
  </si>
  <si>
    <t>Cymbopogon schoenanthus</t>
  </si>
  <si>
    <t>/Ezkher</t>
  </si>
  <si>
    <t>3/D/51</t>
  </si>
  <si>
    <t>Cynara scolymus (Artichoke)</t>
  </si>
  <si>
    <t>أرضي شوكي</t>
  </si>
  <si>
    <t>3/D/13A</t>
  </si>
  <si>
    <t>Sod</t>
  </si>
  <si>
    <t>Cynodon spp.</t>
  </si>
  <si>
    <t>Cynomorium coccineum</t>
  </si>
  <si>
    <t>طرثوث</t>
  </si>
  <si>
    <t>Cyperus conglomerates</t>
  </si>
  <si>
    <t>Cyperus jeminicus</t>
  </si>
  <si>
    <t>/ركبة, سعد</t>
  </si>
  <si>
    <t>Cyperus rotundus</t>
  </si>
  <si>
    <t>/ثندة, رشا, عندب, سعد, قسيس</t>
  </si>
  <si>
    <t>Cytisus junceum (Spartium) (Spanish Broom)</t>
  </si>
  <si>
    <t>Dactyloctenium aegyptiacum</t>
  </si>
  <si>
    <t>3/B/18</t>
  </si>
  <si>
    <t>Dalea frutescens</t>
  </si>
  <si>
    <t>Daucus carota (Carrots)</t>
  </si>
  <si>
    <t>جزر</t>
  </si>
  <si>
    <t>Type D - Tree</t>
  </si>
  <si>
    <t>3/D/1</t>
  </si>
  <si>
    <t>Delonix regia</t>
  </si>
  <si>
    <t>بونسيانا</t>
  </si>
  <si>
    <t>2.5-4m</t>
  </si>
  <si>
    <t>Dietes bicolor (Peacock Flower)</t>
  </si>
  <si>
    <t>3/A/12</t>
  </si>
  <si>
    <t>Dipcadi erythraeum</t>
  </si>
  <si>
    <t>زعيطمان,بريد الكلب</t>
  </si>
  <si>
    <t>3/C/12</t>
  </si>
  <si>
    <t>Dodonaea viscosa</t>
  </si>
  <si>
    <t>0.8m</t>
  </si>
  <si>
    <t>Dodonaea viscosa purpurea</t>
  </si>
  <si>
    <t xml:space="preserve">Dryobalanops camphora </t>
  </si>
  <si>
    <t>كافور</t>
  </si>
  <si>
    <t>3/F/41</t>
  </si>
  <si>
    <t>Duranta erecta syn Duranta repens (Blue Sky Flower)</t>
  </si>
  <si>
    <t>0.1-0.2m</t>
  </si>
  <si>
    <t>3/D/14</t>
  </si>
  <si>
    <t>Echinacea purpurea</t>
  </si>
  <si>
    <t>أخناسيا,حشيشة القنفذ,كشمش أسود</t>
  </si>
  <si>
    <t>Echinocactus grussonii (Golden Barrel)</t>
  </si>
  <si>
    <t>3/F/32</t>
  </si>
  <si>
    <t>Echinocereus engelmannii (Strawberry Hedgehog)</t>
  </si>
  <si>
    <t>Echiochilon koschyi</t>
  </si>
  <si>
    <t>Elaeagnus pungens (Silverberry)</t>
  </si>
  <si>
    <t>3/C/13</t>
  </si>
  <si>
    <t>Elettaria cardamomum</t>
  </si>
  <si>
    <t>حب الهال</t>
  </si>
  <si>
    <t>3/B/27</t>
  </si>
  <si>
    <t>Eleusine compressa</t>
  </si>
  <si>
    <t>حمرا,نجيل</t>
  </si>
  <si>
    <t>3/F/7</t>
  </si>
  <si>
    <t>Emex spinosus</t>
  </si>
  <si>
    <t>شوكة الشيطان</t>
  </si>
  <si>
    <t>Encelia farinosa</t>
  </si>
  <si>
    <t>3/B/19</t>
  </si>
  <si>
    <t>Ephedra foliata</t>
  </si>
  <si>
    <t>Eremophila maculata</t>
  </si>
  <si>
    <t>Eremopogon foveolatus</t>
  </si>
  <si>
    <t>Erodium glaucophyllum</t>
  </si>
  <si>
    <t>كبيشة, تمير</t>
  </si>
  <si>
    <t>Erodium laciniatum</t>
  </si>
  <si>
    <t>حمباز, قرنوة</t>
  </si>
  <si>
    <t>3/D/15</t>
  </si>
  <si>
    <t>Eruca sativa</t>
  </si>
  <si>
    <t>جرجير</t>
  </si>
  <si>
    <t>3/B/6</t>
  </si>
  <si>
    <t>Eucalptus citriodora/Eucalyptus rostrata</t>
  </si>
  <si>
    <t>الكينا (الكافور)</t>
  </si>
  <si>
    <t>3/F/42</t>
  </si>
  <si>
    <t>Euonymus japonica 'Aureus' (Euonymus)</t>
  </si>
  <si>
    <t>مرجان</t>
  </si>
  <si>
    <t>Euphorbia biglandulosa</t>
  </si>
  <si>
    <t>Euphorbia granulata</t>
  </si>
  <si>
    <t>/لبينة</t>
  </si>
  <si>
    <t>Euphorbia milii (Crown of Thorns)</t>
  </si>
  <si>
    <t>Euphorbia sp.</t>
  </si>
  <si>
    <t>شجرة الزقوم</t>
  </si>
  <si>
    <t>3/A/6A</t>
  </si>
  <si>
    <t>Average 2 m to 3 m high from base of trunk to underside of crown</t>
  </si>
  <si>
    <t>Existing campus Semi-mature and mature trees</t>
  </si>
  <si>
    <t>Fagonia bruguleri</t>
  </si>
  <si>
    <t>Fagonia indica</t>
  </si>
  <si>
    <t>ظريمة, شويكة, شكاعي</t>
  </si>
  <si>
    <t>3/D/2</t>
  </si>
  <si>
    <t xml:space="preserve">1.5 to 2 m high from base trunk to underside of crown,  2.1 m high from base of trunk to to top of crown, 15 mm calliper, 47 mm girth at calliper </t>
  </si>
  <si>
    <t>Feijoa sellowiana</t>
  </si>
  <si>
    <t>3/F/64</t>
  </si>
  <si>
    <t>Feijoa sellowiana (Pineapple Guava)</t>
  </si>
  <si>
    <t>Ferocactus peninsulae (Fishhook Barrel cactus)</t>
  </si>
  <si>
    <t>Festuca ovina glauca 'Elijah Blue' (Elijah Blue, Blue Fescue)</t>
  </si>
  <si>
    <t>3/E/5</t>
  </si>
  <si>
    <t xml:space="preserve">Ficus carica </t>
  </si>
  <si>
    <t>تين</t>
  </si>
  <si>
    <t>2.2m</t>
  </si>
  <si>
    <t>3/D/3</t>
  </si>
  <si>
    <t>Moraceae</t>
  </si>
  <si>
    <t>Ficus nitida</t>
  </si>
  <si>
    <t>1.5-1.8m</t>
  </si>
  <si>
    <t>Filago desertourm (syn. Filago spathulata)</t>
  </si>
  <si>
    <t>قطينة</t>
  </si>
  <si>
    <t>Filago spathulata</t>
  </si>
  <si>
    <t>3/F/33</t>
  </si>
  <si>
    <t>Fouquieria splendens (Ocotillo)</t>
  </si>
  <si>
    <t>Frankenia pulverulenta</t>
  </si>
  <si>
    <t>/مليح</t>
  </si>
  <si>
    <t>Furcraea foetida (Mauritius Hemp)</t>
  </si>
  <si>
    <t>Gastroctyle hispida</t>
  </si>
  <si>
    <t>3/F/43</t>
  </si>
  <si>
    <t>Gaura lindheimeri (Butterfly Gaura)</t>
  </si>
  <si>
    <t>3/F/83</t>
  </si>
  <si>
    <t>Gelsemium sempervirens (Carolina Jasmine)</t>
  </si>
  <si>
    <t>3/A/13</t>
  </si>
  <si>
    <t>Glossonema varians</t>
  </si>
  <si>
    <t>/) عتر )النبته(, جراوة )الثمرة</t>
  </si>
  <si>
    <t>Halopeplis perfoliata</t>
  </si>
  <si>
    <t>/خريز</t>
  </si>
  <si>
    <t>3/A/22</t>
  </si>
  <si>
    <t>Hammada elegans</t>
  </si>
  <si>
    <t>/رمث</t>
  </si>
  <si>
    <t>3/F/3</t>
  </si>
  <si>
    <t>Haplophyllum tuberculatum</t>
  </si>
  <si>
    <t>مسيكة, طفر التيس/سنان التيس</t>
  </si>
  <si>
    <t>Helianthemum lipii</t>
  </si>
  <si>
    <t>رقروق</t>
  </si>
  <si>
    <t>Heliotropium bacciferum</t>
  </si>
  <si>
    <t>/رمرام, ذنب العقرب</t>
  </si>
  <si>
    <t>50mm Liner</t>
  </si>
  <si>
    <t>Heliotropium curassavicum</t>
  </si>
  <si>
    <t>غبيرة,رحى</t>
  </si>
  <si>
    <t>Heliotropium kotschyi</t>
  </si>
  <si>
    <t>رمرام, ذنب العقرب</t>
  </si>
  <si>
    <t>Hemerocallis fulva (Orange Day Lily)</t>
  </si>
  <si>
    <t>3/D/16</t>
  </si>
  <si>
    <t>Hemerocallis stella de oro</t>
  </si>
  <si>
    <t>Herniaria hemistemon</t>
  </si>
  <si>
    <t>3/B/20</t>
  </si>
  <si>
    <t>Herniaria hirsuta</t>
  </si>
  <si>
    <t>غبرة,شوالة</t>
  </si>
  <si>
    <t>Hesperaloe parvifolia (Red Yucca)</t>
  </si>
  <si>
    <t>Hibiscus rosa-sinensis - Pink (Pink Chinese Hibiscus)</t>
  </si>
  <si>
    <t>3/F/72</t>
  </si>
  <si>
    <t>Hibiscus rosa-sinensis - Red (Red Chinese Hibiscus)</t>
  </si>
  <si>
    <t>Hibiscus rosa-sinensis - Yellow (Yellow Chinese Hibiscus)</t>
  </si>
  <si>
    <t>3/C/2</t>
  </si>
  <si>
    <t>Malvaceae</t>
  </si>
  <si>
    <t>Hibiscus tiliaceus</t>
  </si>
  <si>
    <t>Hippocrepis constricta</t>
  </si>
  <si>
    <t>3/B/21</t>
  </si>
  <si>
    <t>Hippocrepis unisiliquosa</t>
  </si>
  <si>
    <t>أم دوارة</t>
  </si>
  <si>
    <t>3/D/61</t>
  </si>
  <si>
    <t xml:space="preserve">Hordeum vulgare </t>
  </si>
  <si>
    <t>شعير</t>
  </si>
  <si>
    <t>Hordium vulgare</t>
  </si>
  <si>
    <t>Hymenoxys acaulis</t>
  </si>
  <si>
    <t>Ifloga spicata</t>
  </si>
  <si>
    <t>Indigofera intricate</t>
  </si>
  <si>
    <t>3/D/52</t>
  </si>
  <si>
    <t>Ipomoea batatas (Sweet Potato)</t>
  </si>
  <si>
    <t>Ipomoea pes-caprae</t>
  </si>
  <si>
    <t>3/F/73</t>
  </si>
  <si>
    <t>Ixora x orange (Orange Ixora)</t>
  </si>
  <si>
    <t>Ixora x pink (Pink Ixora)</t>
  </si>
  <si>
    <t>0.4m</t>
  </si>
  <si>
    <t>3/F/74</t>
  </si>
  <si>
    <t>Ixora x red (Red Ixora)</t>
  </si>
  <si>
    <t>Ixora x salmon (Salmon Ixora)</t>
  </si>
  <si>
    <t>3/F/75</t>
  </si>
  <si>
    <t>Ixora x yellow (Yellow Ixora)</t>
  </si>
  <si>
    <t>Jasminium officinale</t>
  </si>
  <si>
    <t>0.75m</t>
  </si>
  <si>
    <t>3/D/17</t>
  </si>
  <si>
    <t>Jasminium sambac</t>
  </si>
  <si>
    <t>Jasminum  mesnyi (Primrose Jasmine)</t>
  </si>
  <si>
    <t>3/F/84</t>
  </si>
  <si>
    <t>Jasminum grandiflorum (Spanish Jasmine)</t>
  </si>
  <si>
    <t>Jasminum polyanthum (Pink Jasmine)</t>
  </si>
  <si>
    <t>3/F/76</t>
  </si>
  <si>
    <t>Jasminum sambac (Arabian Jasmine)</t>
  </si>
  <si>
    <t>Jatropha integerrima syn Jatropha pandurifolia (Spicy Jatropha)</t>
  </si>
  <si>
    <t>Jatropha podagrica</t>
  </si>
  <si>
    <t>Juncus rigidus</t>
  </si>
  <si>
    <t>/أصل, رشا, تندة</t>
  </si>
  <si>
    <t>3/B/22</t>
  </si>
  <si>
    <t>Justicia californica</t>
  </si>
  <si>
    <t>Justicia spicigera (Mexican Honeysuckle)</t>
  </si>
  <si>
    <t>Lactuca sativa (Lettuce)</t>
  </si>
  <si>
    <t>خس</t>
  </si>
  <si>
    <t>3/F/77</t>
  </si>
  <si>
    <t>Lagenaria siceraria (Gourd)</t>
  </si>
  <si>
    <t>3/E/24</t>
  </si>
  <si>
    <t>Lagenaria vulgaris</t>
  </si>
  <si>
    <t>يقطين</t>
  </si>
  <si>
    <t>3/C/14</t>
  </si>
  <si>
    <t>Lantana camara</t>
  </si>
  <si>
    <t>أم كلثوم</t>
  </si>
  <si>
    <t>0.15-0.3m</t>
  </si>
  <si>
    <t>3/F/21</t>
  </si>
  <si>
    <t>Larrea tridentata (Creosote Bush)</t>
  </si>
  <si>
    <t>3/A/14</t>
  </si>
  <si>
    <t>Lasiurus hirsutus</t>
  </si>
  <si>
    <t>دحاح</t>
  </si>
  <si>
    <t>Launaea capitata</t>
  </si>
  <si>
    <t xml:space="preserve"> حوة</t>
  </si>
  <si>
    <t>Launaea mucronata</t>
  </si>
  <si>
    <t>Launaea nudicaulis</t>
  </si>
  <si>
    <t>حوة, حوة غنم, غزال</t>
  </si>
  <si>
    <t>3/D/18</t>
  </si>
  <si>
    <t>Lavandula dentata</t>
  </si>
  <si>
    <t>ضرم</t>
  </si>
  <si>
    <r>
      <t xml:space="preserve">Lavandula officinalis </t>
    </r>
    <r>
      <rPr>
        <sz val="10"/>
        <color theme="3" tint="-0.249977111117893"/>
        <rFont val="Verdana"/>
        <family val="2"/>
      </rPr>
      <t>(L.Angustifolia)</t>
    </r>
  </si>
  <si>
    <t>خزامى,زهور الزعفران</t>
  </si>
  <si>
    <t>Lawsonia inermis</t>
  </si>
  <si>
    <t>حنّا</t>
  </si>
  <si>
    <t xml:space="preserve"> 0.5-1.2m</t>
  </si>
  <si>
    <t>Lens culinaris</t>
  </si>
  <si>
    <t>عدس</t>
  </si>
  <si>
    <t>3/A/23</t>
  </si>
  <si>
    <t>Leptadenia pyrotechnica</t>
  </si>
  <si>
    <t>مرخ</t>
  </si>
  <si>
    <t>3/F/44</t>
  </si>
  <si>
    <t>Leptospermum laevigatum (Tea Tree)</t>
  </si>
  <si>
    <t>3/C/15</t>
  </si>
  <si>
    <t>Leucophyllum frutescens (Green cloud)</t>
  </si>
  <si>
    <t>Leucophyllum frutescens (Texas sage)</t>
  </si>
  <si>
    <t>3/B/23</t>
  </si>
  <si>
    <t>Leucophyllum zygophyllum- grey</t>
  </si>
  <si>
    <t>Ligustrum texanum (Texas Wax Leaf Privet)</t>
  </si>
  <si>
    <t>Limonium axillare</t>
  </si>
  <si>
    <t>قطف</t>
  </si>
  <si>
    <t>Loranthus acaciae</t>
  </si>
  <si>
    <t>Lotononis platycarpa</t>
  </si>
  <si>
    <t>Lotus halophilus</t>
  </si>
  <si>
    <t>حوربيث, قرن الغزال</t>
  </si>
  <si>
    <t>3/A/15</t>
  </si>
  <si>
    <t>Lycium shawii</t>
  </si>
  <si>
    <t>/عوسج</t>
  </si>
  <si>
    <t>3/D/53</t>
  </si>
  <si>
    <t>Lycopersicon esculentum (Tomato)</t>
  </si>
  <si>
    <t>طماطم</t>
  </si>
  <si>
    <t>3/C/16</t>
  </si>
  <si>
    <t>Macfadyena unguis=cati</t>
  </si>
  <si>
    <t>Majorana hortensis</t>
  </si>
  <si>
    <t>مردقوش</t>
  </si>
  <si>
    <t>3/E/6</t>
  </si>
  <si>
    <t>Field dug, 2 m - 5 m high from base of runk to top of crown</t>
  </si>
  <si>
    <t xml:space="preserve">Mallotus philippinensis </t>
  </si>
  <si>
    <t>/waras</t>
  </si>
  <si>
    <t>Malva parvifolia</t>
  </si>
  <si>
    <t>خبيزة</t>
  </si>
  <si>
    <t>3/F/85</t>
  </si>
  <si>
    <t>Matthiola incana (Common Stock)</t>
  </si>
  <si>
    <t>3/F/8</t>
  </si>
  <si>
    <t>Medicago laciniata</t>
  </si>
  <si>
    <t>نفل, جت بري, برسيم بري, أبو حسك</t>
  </si>
  <si>
    <t>Medicago sativa</t>
  </si>
  <si>
    <t xml:space="preserve">, جت , برسيم </t>
  </si>
  <si>
    <t>3/C/3</t>
  </si>
  <si>
    <t>Melaleuca quinquenervia</t>
  </si>
  <si>
    <t>3/B/7</t>
  </si>
  <si>
    <t>Melia azederach</t>
  </si>
  <si>
    <t>0.8-1.8m</t>
  </si>
  <si>
    <t>3/F/11</t>
  </si>
  <si>
    <t>Melilotus indicus</t>
  </si>
  <si>
    <t>3/C/17</t>
  </si>
  <si>
    <t>Melissa officinalis</t>
  </si>
  <si>
    <t>حبق ترنجاني,ريحان الليمون</t>
  </si>
  <si>
    <t>3/D/19</t>
  </si>
  <si>
    <t>Mentha longifolia</t>
  </si>
  <si>
    <t>نعناع</t>
  </si>
  <si>
    <t>Mentha spicata</t>
  </si>
  <si>
    <t>3/D/20</t>
  </si>
  <si>
    <t>Menthax piperita</t>
  </si>
  <si>
    <t>Mesembryanthemum forskahlei</t>
  </si>
  <si>
    <t>Mesembryanthemum nodiflorum</t>
  </si>
  <si>
    <t>حر, سمح, غاسول</t>
  </si>
  <si>
    <t>Moltkiopsis ciliata</t>
  </si>
  <si>
    <t>حلمة, غبشه</t>
  </si>
  <si>
    <t>Monsonia nivea</t>
  </si>
  <si>
    <t>3/B/8</t>
  </si>
  <si>
    <t>Moringaceae</t>
  </si>
  <si>
    <t>Moringa oleifera</t>
  </si>
  <si>
    <t>1.2-1.8m</t>
  </si>
  <si>
    <t>3/D/4</t>
  </si>
  <si>
    <t>Morus alba</t>
  </si>
  <si>
    <t xml:space="preserve">توت </t>
  </si>
  <si>
    <t>Muhlenbergia capillaris</t>
  </si>
  <si>
    <t>3/B/23A</t>
  </si>
  <si>
    <t>Muhlenbergia rigens</t>
  </si>
  <si>
    <t xml:space="preserve">Musa paradisiacal </t>
  </si>
  <si>
    <t>موز</t>
  </si>
  <si>
    <t>Myoporum Parvifolium (Prostrate  Myoporum)</t>
  </si>
  <si>
    <t>Myrtus communis</t>
  </si>
  <si>
    <t>هداس , آس</t>
  </si>
  <si>
    <t>3/F/78</t>
  </si>
  <si>
    <t>Myrtus communis 'compacta' (Compact Myrtle)</t>
  </si>
  <si>
    <t>3/F/45</t>
  </si>
  <si>
    <t>Nerium oleander - PINK (Pink Oleander)</t>
  </si>
  <si>
    <t>Nerium oleander - RED (Red Oleander)</t>
  </si>
  <si>
    <t>3/F/46</t>
  </si>
  <si>
    <t>Nerium oleander - WHITE (White Oleander)</t>
  </si>
  <si>
    <t>3/A/16</t>
  </si>
  <si>
    <t xml:space="preserve">Neurada procumbens </t>
  </si>
  <si>
    <t>سعدان</t>
  </si>
  <si>
    <t>3/E/25</t>
  </si>
  <si>
    <t>20mm liner</t>
  </si>
  <si>
    <t>Nigella sativa</t>
  </si>
  <si>
    <t>الحبة السوداء</t>
  </si>
  <si>
    <t>3/F/58</t>
  </si>
  <si>
    <t>Nigella sativa (Black Cumin)</t>
  </si>
  <si>
    <t>3/E/16</t>
  </si>
  <si>
    <t>Field dug</t>
  </si>
  <si>
    <t>Nitraria retusa</t>
  </si>
  <si>
    <t>غرقد</t>
  </si>
  <si>
    <t>3/F/27</t>
  </si>
  <si>
    <t xml:space="preserve">Ochradenus baccatus </t>
  </si>
  <si>
    <t>قرضي</t>
  </si>
  <si>
    <t>3/D/21</t>
  </si>
  <si>
    <t>Ocimum basilicum</t>
  </si>
  <si>
    <t>ريحان</t>
  </si>
  <si>
    <t>3/E/26</t>
  </si>
  <si>
    <t>from seed</t>
  </si>
  <si>
    <t>Ocimum basilicum 'Dark opal'</t>
  </si>
  <si>
    <t>ريحان أحمر</t>
  </si>
  <si>
    <t>Oenothera caespitosa (Evening Primrose)</t>
  </si>
  <si>
    <t>3/E/7</t>
  </si>
  <si>
    <t>Field dug, 3 m - 5 m high from base of runk to top of crown</t>
  </si>
  <si>
    <t xml:space="preserve">Olea europea </t>
  </si>
  <si>
    <t>زيتون</t>
  </si>
  <si>
    <t>3/F/34</t>
  </si>
  <si>
    <t>Opuntia spp.(Opuntia)</t>
  </si>
  <si>
    <t>origanum vulgare</t>
  </si>
  <si>
    <t>مردقوش,صعتر</t>
  </si>
  <si>
    <t>Oryza sativa</t>
  </si>
  <si>
    <t>أرز</t>
  </si>
  <si>
    <t>3/A/16A</t>
  </si>
  <si>
    <t xml:space="preserve">Panicum turgidum </t>
  </si>
  <si>
    <t>3/B/9</t>
  </si>
  <si>
    <t>Parkinsonia aculeata'</t>
  </si>
  <si>
    <t>3/D/22-REV IFT9</t>
  </si>
  <si>
    <t>Paspalum vaginatum</t>
  </si>
  <si>
    <t>Passiflora caerulea</t>
  </si>
  <si>
    <t>زهرة الساعة</t>
  </si>
  <si>
    <t>Pastinaca sativa (Parsnip)</t>
  </si>
  <si>
    <t>3/C/18</t>
  </si>
  <si>
    <t>Pedilanthus macrocarpus</t>
  </si>
  <si>
    <t>Lady's slipper</t>
  </si>
  <si>
    <t>3/D/5</t>
  </si>
  <si>
    <t>Peltophorum pterocarpum</t>
  </si>
  <si>
    <t>3.8m</t>
  </si>
  <si>
    <t>Pennisetum divisum</t>
  </si>
  <si>
    <t>/ثيموم</t>
  </si>
  <si>
    <t>Pennisetum rubrum</t>
  </si>
  <si>
    <t>3/C/19</t>
  </si>
  <si>
    <t>Pennisetum setaceum</t>
  </si>
  <si>
    <t>Penstemon eatonil</t>
  </si>
  <si>
    <t>Penstemon palmeri (Palmer's Penstemon, Scented Penstemon)</t>
  </si>
  <si>
    <t>3/F/59</t>
  </si>
  <si>
    <t>Penstemon parryi (Parry's Penstemon)</t>
  </si>
  <si>
    <t>Penstemon pseudospectabilis (Desert Penstemon)</t>
  </si>
  <si>
    <t>3/F/60</t>
  </si>
  <si>
    <t>Penstemon superbus (Superb Penstemon)</t>
  </si>
  <si>
    <t>3/C/20</t>
  </si>
  <si>
    <t>Petroselinum crispum</t>
  </si>
  <si>
    <t>3/D/54</t>
  </si>
  <si>
    <t>Phaseolus sp. (Beans)</t>
  </si>
  <si>
    <t>Field dug, 5 m - 8 m high from base of runk to top of crown</t>
  </si>
  <si>
    <t xml:space="preserve">Phoenix dactylifera </t>
  </si>
  <si>
    <t>نخيل</t>
  </si>
  <si>
    <t>3/F/65</t>
  </si>
  <si>
    <t>Phormium tenax 'Baby Bronze' (Baby Bronze Flax)</t>
  </si>
  <si>
    <t>Phormium tenax 'Guardsman' (New Zealand Flax)</t>
  </si>
  <si>
    <t>3/B/28</t>
  </si>
  <si>
    <t>Picris  radicata</t>
  </si>
  <si>
    <t>حودان، حذان</t>
  </si>
  <si>
    <t>Pimpinella anisum</t>
  </si>
  <si>
    <t>يانسون</t>
  </si>
  <si>
    <t>Pisum sativum (Peas)</t>
  </si>
  <si>
    <t>Pittosporum tobira (Mock Orange)</t>
  </si>
  <si>
    <t>Plantago amplexicaulis</t>
  </si>
  <si>
    <t>Plantago ciliata</t>
  </si>
  <si>
    <t>3/F/79</t>
  </si>
  <si>
    <t>Plumbago auriculata syn Plumbago capensis (Leadwort)</t>
  </si>
  <si>
    <t>3/D/6</t>
  </si>
  <si>
    <t xml:space="preserve">2.2 m high from base trunk to top  of crown,  multi trunk </t>
  </si>
  <si>
    <r>
      <t>Apocynaceae</t>
    </r>
    <r>
      <rPr>
        <sz val="13.5"/>
        <color rgb="FF000000"/>
        <rFont val="Arial"/>
        <family val="2"/>
      </rPr>
      <t>)</t>
    </r>
  </si>
  <si>
    <t>Plumeria obtusa</t>
  </si>
  <si>
    <t>2.5m</t>
  </si>
  <si>
    <t>Polypogon monspeliensis</t>
  </si>
  <si>
    <t>3/A/16B</t>
  </si>
  <si>
    <t xml:space="preserve">Portulaca oleracea </t>
  </si>
  <si>
    <t>/بربير, بقلة, رجلة</t>
  </si>
  <si>
    <t>3/B/10</t>
  </si>
  <si>
    <t>Prosopis alba</t>
  </si>
  <si>
    <t>3/A/4</t>
  </si>
  <si>
    <t>Feathered trees, untrimmed, upto 2 m from base of trunk to top of crown</t>
  </si>
  <si>
    <t>Prosopis cineraria syn prosopis</t>
  </si>
  <si>
    <t>الغاف</t>
  </si>
  <si>
    <t>0.2-0.4m</t>
  </si>
  <si>
    <t>3/A/5</t>
  </si>
  <si>
    <t>Prosopis juliflora/faracta</t>
  </si>
  <si>
    <t>/غويف</t>
  </si>
  <si>
    <t>0.7-1.8m</t>
  </si>
  <si>
    <t>3/C/21</t>
  </si>
  <si>
    <t>Pseuderanthemum atropurpureum</t>
  </si>
  <si>
    <t>3/F/47</t>
  </si>
  <si>
    <t>Pseuderanthemum atropurpureum Variegata (Variegated Pseuderanthemum)</t>
  </si>
  <si>
    <t>Pseuderanthemum reticulatum golden (Golden Pseuderanthemum)</t>
  </si>
  <si>
    <t>3/F/48</t>
  </si>
  <si>
    <t>Pseuderanthemum sinuatum</t>
  </si>
  <si>
    <t>Psilostrophe cooperi (Cooper's Paperfllower)</t>
  </si>
  <si>
    <t>Psoralea plicata</t>
  </si>
  <si>
    <t>Pulicaria crispa</t>
  </si>
  <si>
    <t>3/A/23A</t>
  </si>
  <si>
    <t>Pulicaria undulata</t>
  </si>
  <si>
    <t>سبط,دسداس</t>
  </si>
  <si>
    <t>3/D/7</t>
  </si>
  <si>
    <t xml:space="preserve">1.8 to 1.2 m high from base trunk of underside of crown, 1.8 m high from base of trunk to top of crown, 18 mm calliper, 57 mm girth at calliper </t>
  </si>
  <si>
    <t>Lythraceae</t>
  </si>
  <si>
    <t>Punica granatum</t>
  </si>
  <si>
    <t>رمان</t>
  </si>
  <si>
    <t>3/E/8</t>
  </si>
  <si>
    <t>Field dug, 1 m - 3 m high from base of runk to top of crown</t>
  </si>
  <si>
    <t xml:space="preserve">Punica granatum </t>
  </si>
  <si>
    <t>3/F/86</t>
  </si>
  <si>
    <t>Quisqualis indica (Red Jasmine,  Rangoon Creeper)</t>
  </si>
  <si>
    <t>3/D/55</t>
  </si>
  <si>
    <t>Raphanus sativus (Radish)</t>
  </si>
  <si>
    <t>فجل</t>
  </si>
  <si>
    <t>3/C/28</t>
  </si>
  <si>
    <t>Reichardia tingitana</t>
  </si>
  <si>
    <t>كلاب، حوه، الحواء</t>
  </si>
  <si>
    <t>Reseda muricata</t>
  </si>
  <si>
    <t>/شولة</t>
  </si>
  <si>
    <t>Rhanterium epapposum</t>
  </si>
  <si>
    <t>Rheum rhabarbarum (Rhubarb)</t>
  </si>
  <si>
    <t>Rhoeo spathacea (Moses-in-the-Boat)</t>
  </si>
  <si>
    <t>3/A/16C</t>
  </si>
  <si>
    <t>Ricinus communis</t>
  </si>
  <si>
    <t>الخروع</t>
  </si>
  <si>
    <t>Rosa damascena (Damask Rose)</t>
  </si>
  <si>
    <t>3/F/80</t>
  </si>
  <si>
    <t>Rosa gallica (Gallic Rose)</t>
  </si>
  <si>
    <t>Rosa phoenicia (Phoenician Rose)</t>
  </si>
  <si>
    <t>3/D/24</t>
  </si>
  <si>
    <t>Rosa x America 1976 AARS (America 1976 AARS Rose)</t>
  </si>
  <si>
    <t>Rosa x Angel Face 1968 AARS (Angel Face 1968 AARS Rose)</t>
  </si>
  <si>
    <t>Rosa x Ballerina 1937 (Ballerina 1937 Rose)</t>
  </si>
  <si>
    <t>Rosa x Baronne Prevost 1842 (Baronne Prevost 1842 Rose)</t>
  </si>
  <si>
    <t>Rosa x Belinda 1936 (Belinda 1936 Rose)</t>
  </si>
  <si>
    <t>Rosa x Belle Story (Bella Story Rose)</t>
  </si>
  <si>
    <t>3/D/25</t>
  </si>
  <si>
    <t>Rosa x Betty Boop 1999 AARS (Betty Boop 1999 AARS Rose)</t>
  </si>
  <si>
    <t>Rosa x Brass Band 1995 AARS (Brass Band 1995 AARS Rose)</t>
  </si>
  <si>
    <t>Rosa x Brides Dream (Bride's Dream Rose)</t>
  </si>
  <si>
    <t>Rosa x Brigadoon (Brigadoon Rose)</t>
  </si>
  <si>
    <t>Rosa x Candelabra 1999 AARS (Candelabra 1999 AARS Rose)</t>
  </si>
  <si>
    <t>Rosa x Caribbean 1994 AARS (Caribbean 1994 AARS Rose)</t>
  </si>
  <si>
    <t>Rosa x Cecile Brunner (Cecile Brunner Rose)</t>
  </si>
  <si>
    <t>Rosa x Cherish (Cherish Rose)</t>
  </si>
  <si>
    <t>Rosa x China Doll (China Doll Rose)</t>
  </si>
  <si>
    <t>Rosa x Chrysler Imperial 1953 AARS (Chrysler Imperial 1953 AARS Rose)</t>
  </si>
  <si>
    <t>Rosa x Crystalline (Crystalline Rose)</t>
  </si>
  <si>
    <t>3/D/27</t>
  </si>
  <si>
    <t>Rosa x Dainty Bess (Dainty Bess Rose)</t>
  </si>
  <si>
    <t>Rosa x Don Juan (Don Juan Rose)</t>
  </si>
  <si>
    <t>Rosa x Dortmund (Dortmund Rose)</t>
  </si>
  <si>
    <t>Rosa x Double Delight 1977 AARS (Double Delight 1977 AARS Rose)</t>
  </si>
  <si>
    <t>Rosa x Fairhope (Fairhope Rose)</t>
  </si>
  <si>
    <t>Rosa x Figurine (Figurine Rose)</t>
  </si>
  <si>
    <t>3/D/28</t>
  </si>
  <si>
    <t>Rosa x First Light 1998 AARS (First Light 1998 AARS Rose)</t>
  </si>
  <si>
    <t>Rosa x First Prize 1970 AARS (First Prize 1970 AARS Rose)</t>
  </si>
  <si>
    <t>Rosa x Francis Dubreuil 1894 (Francis Dubreuil 1894 Rose)</t>
  </si>
  <si>
    <t>Rosa x Gemini 2000 AARS (Gemini 2000 AARS Rose)</t>
  </si>
  <si>
    <t>Rosa x Glowing Peace 2001 AARS (Glowing Peace 2001 AARS Rose)</t>
  </si>
  <si>
    <t>Rosa x Gold Medal (Gold Medal Rose)</t>
  </si>
  <si>
    <t>3/D/29</t>
  </si>
  <si>
    <t>Rosa x Golden Celebration (Golden Celebration Rose)</t>
  </si>
  <si>
    <t>Rosa x Graham Thomas (Graham Thomas Rose)</t>
  </si>
  <si>
    <t>Rosa x Heritage (Heritage Rose)</t>
  </si>
  <si>
    <t>Rosa x Hermosa 1837 (Hermosa 1837 Rose)</t>
  </si>
  <si>
    <t>Rosa x Iceberg (Iceberg Rose)</t>
  </si>
  <si>
    <t>Rosa x Incognito (Incognito Rose)</t>
  </si>
  <si>
    <t>3/D/30</t>
  </si>
  <si>
    <t>Rosa x Jean Kenneally (Jean Kenneally Rose)</t>
  </si>
  <si>
    <t>Rosa x June Laver (June Laver Rose)</t>
  </si>
  <si>
    <t>Rosa x Knock Out 2000 AARS (Knock Out 2000 AARS Rose)</t>
  </si>
  <si>
    <t>Rosa x Love (Love Rose)</t>
  </si>
  <si>
    <t>Rosa x Madame hardy (Madame Hardy Rose)</t>
  </si>
  <si>
    <t>Rosa x Margo Koster (Margo Koster Rose)</t>
  </si>
  <si>
    <t>3/D/31</t>
  </si>
  <si>
    <t>Rosa x Marmalade Skies 2001 AARS (Marmalade Skies 2001 AARS Rose)</t>
  </si>
  <si>
    <t>Rosa x Martha Gonzales (Martha Gonzales Rose)</t>
  </si>
  <si>
    <t>Rosa x Mary Rose (Mary Rose Rose)</t>
  </si>
  <si>
    <t>Rosa x Mister Lincoln 1965 AARS (Minster Lincoln 1965 AARS Rose)</t>
  </si>
  <si>
    <t>Rosa x Monsier Tillier (Monsier Tillier Rose)</t>
  </si>
  <si>
    <t>Rosa x Moonstone (Moonstone Rose)</t>
  </si>
  <si>
    <t>3/D/32</t>
  </si>
  <si>
    <t>Rosa x Mutabilis (Butterfly Rose)</t>
  </si>
  <si>
    <t>Rosa x Nicole (Nicole Rose)</t>
  </si>
  <si>
    <t>Rosa x Old Blush (Old Blush Rose)</t>
  </si>
  <si>
    <t>Rosa x Olympiad 1984 AARS (Olympiad 1984 AARS Rose)</t>
  </si>
  <si>
    <t>Rosa x Opening Night 1998 AARS (Opening Night 1998 AARS Rose)</t>
  </si>
  <si>
    <t>Rosa x Othello (Othello Rose)</t>
  </si>
  <si>
    <t>3/D/33</t>
  </si>
  <si>
    <t>Rosa x Perle d'Or 1884 (Perle d'Or 1884 Rose)</t>
  </si>
  <si>
    <t>Rosa x Pierrine (Pierrine Rose)</t>
  </si>
  <si>
    <t>Rosa x Pristine (Pristine Rose)</t>
  </si>
  <si>
    <t>Rosa x Queen Elizabeth 1955 AARS (Queen Elizabeth 1955 AARS Rose)</t>
  </si>
  <si>
    <t>Rosa x Rainbow's End (Rainbow's End Rose)</t>
  </si>
  <si>
    <t>Rosa x Reine des Violettes (Reine des Violettes Rose)</t>
  </si>
  <si>
    <t>3/D/34</t>
  </si>
  <si>
    <t>Rosa x Rise 'N' Shine (Rise 'N' Shine Rose)</t>
  </si>
  <si>
    <t>Rosa x Rose de Rescht (Rose de Rescht Rose)</t>
  </si>
  <si>
    <t>Rosa x Royal Highness 1963 AARS (Royal Highness 1963 AARS Rose)</t>
  </si>
  <si>
    <t>Rosa x Sally Holmes (Sally Holmes Rose)</t>
  </si>
  <si>
    <t>Rosa x Santa Claus (Santa Claus Rose)</t>
  </si>
  <si>
    <t>Rosa x Sarabande 1960 AARS (Sarabande 1960 AARS Rose)</t>
  </si>
  <si>
    <t>3/D/35</t>
  </si>
  <si>
    <t>Rosa x Scentimental (Scentimental Rose)</t>
  </si>
  <si>
    <t>Rosa x Sheer Elegance (Sheer Elegance Rose)</t>
  </si>
  <si>
    <t>Rosa x Sheikha Mozah (Sheikha Mozah Rose)</t>
  </si>
  <si>
    <t>Rosa x Showbiz 1985 AARS (Showbiz 1985 AARS Rose)</t>
  </si>
  <si>
    <t>Rosa x Signature (Signature Rose)</t>
  </si>
  <si>
    <t>Rosa x Sombreuil (Sombreuil Rose)</t>
  </si>
  <si>
    <t>3/D/36</t>
  </si>
  <si>
    <t>Rosa x Souvenir de la Malmaison (Souvenir de la Malmaison Rose)</t>
  </si>
  <si>
    <t>Rosa x Starina (Starina Rose)</t>
  </si>
  <si>
    <t>Rosa x Summer Fashion (Summer Fashion Rose)</t>
  </si>
  <si>
    <t>Rosa x Sun Sprinkles 2001 AARS (Sun Sprinkles 2001 AARS Rose)</t>
  </si>
  <si>
    <t>Rosa x Sunset Celebration 1998 AARS (Sunset Celebration 1998 AARS Rose)</t>
  </si>
  <si>
    <t>Rosa x Sunsprite (Sunsprite Rose)</t>
  </si>
  <si>
    <t>3/D/37</t>
  </si>
  <si>
    <t>Rosa x Sweet Chariot (Sweet Chariot Rose)</t>
  </si>
  <si>
    <t>Rosa x Tamaro (Tamaro Rose)</t>
  </si>
  <si>
    <t>Rosa x The Fairy (The Fairy Rose)</t>
  </si>
  <si>
    <t>Rosa x Touch of Class 1986 AARS (Touch of Class 1986 AARS Rose)</t>
  </si>
  <si>
    <t>Rosa x Tournament of Roses 1989 AARS (Tournament of Roses 1989 AARS Rose)</t>
  </si>
  <si>
    <t>Rosa x Veteran's Honor 1999 (Veteran's Honor 1999 Rose)</t>
  </si>
  <si>
    <t>3/D/38</t>
  </si>
  <si>
    <t>Rosa x Why Not (Why Not Rose)</t>
  </si>
  <si>
    <t>Rosa x Zephirine Drouhin (Zephirine Drouhin Rose)</t>
  </si>
  <si>
    <t>Rosmarinus officinalis 'Prostratus'</t>
  </si>
  <si>
    <t>0.25-0.3m</t>
  </si>
  <si>
    <t>3/D/22A</t>
  </si>
  <si>
    <r>
      <t xml:space="preserve">Rudbeckia hirta </t>
    </r>
    <r>
      <rPr>
        <sz val="10"/>
        <color theme="3" tint="-0.249977111117893"/>
        <rFont val="Verdana"/>
        <family val="2"/>
      </rPr>
      <t>(Black eyed susan)</t>
    </r>
  </si>
  <si>
    <t>3/C/22</t>
  </si>
  <si>
    <t>Ruellia brittoniana</t>
  </si>
  <si>
    <t>Ruellia brittoniana (Desert Petunia)</t>
  </si>
  <si>
    <t>3/B/23B</t>
  </si>
  <si>
    <t>Ruellia peninsularis</t>
  </si>
  <si>
    <t>Rumex versicarius</t>
  </si>
  <si>
    <t>حميض</t>
  </si>
  <si>
    <t>3/E/27</t>
  </si>
  <si>
    <t>Rumex vesicarius</t>
  </si>
  <si>
    <t>salq</t>
  </si>
  <si>
    <t>Russelia equisetiformis</t>
  </si>
  <si>
    <t>Salsola baryosma</t>
  </si>
  <si>
    <t>/خريط</t>
  </si>
  <si>
    <t xml:space="preserve">Salvadora persica </t>
  </si>
  <si>
    <t>الأراك-خمط</t>
  </si>
  <si>
    <t>3/A/16D</t>
  </si>
  <si>
    <t>Salvia aegyptiaca</t>
  </si>
  <si>
    <t>نعيم</t>
  </si>
  <si>
    <t>3/C/23</t>
  </si>
  <si>
    <r>
      <t xml:space="preserve">Salvia farinacea </t>
    </r>
    <r>
      <rPr>
        <sz val="10"/>
        <color theme="3" tint="-0.249977111117893"/>
        <rFont val="Verdana"/>
        <family val="2"/>
      </rPr>
      <t>(Blue Sage)</t>
    </r>
  </si>
  <si>
    <t>Salvia officianlis</t>
  </si>
  <si>
    <t>مريمية</t>
  </si>
  <si>
    <t>3/F/66</t>
  </si>
  <si>
    <t>Sansevieria trifasciata  (Snake Plant)</t>
  </si>
  <si>
    <t>3/F/22</t>
  </si>
  <si>
    <t>Santolina chamaecyparissus (Lavender Cotton)</t>
  </si>
  <si>
    <t>Santolina chamaecyparisus</t>
  </si>
  <si>
    <t>شيح</t>
  </si>
  <si>
    <t>3/C/24</t>
  </si>
  <si>
    <r>
      <t xml:space="preserve">Satureja hortensis </t>
    </r>
    <r>
      <rPr>
        <sz val="10"/>
        <color theme="3" tint="-0.249977111117893"/>
        <rFont val="Verdana"/>
        <family val="2"/>
      </rPr>
      <t>(Summer Savory)</t>
    </r>
  </si>
  <si>
    <t>Savignya parvifolia</t>
  </si>
  <si>
    <t>Schanginia aegyptiaca</t>
  </si>
  <si>
    <t>سويد-حتلس-جلمان</t>
  </si>
  <si>
    <t>3/D/8</t>
  </si>
  <si>
    <t xml:space="preserve">1.8 - 2.0 m high from base of trunk to underside of crown, 20 mm calliper, 63 mm girth at calliper </t>
  </si>
  <si>
    <t>Anacardiaceae</t>
  </si>
  <si>
    <t>Schinus terebinthifolia</t>
  </si>
  <si>
    <t>Sclerocephalus arabicus</t>
  </si>
  <si>
    <t>Scrophularia deserti</t>
  </si>
  <si>
    <t>Seetzenia orientalis</t>
  </si>
  <si>
    <t>Seidlitzia rosmarinus</t>
  </si>
  <si>
    <t>شنان</t>
  </si>
  <si>
    <t>3/F/12</t>
  </si>
  <si>
    <t>Senecio desfontainei</t>
  </si>
  <si>
    <t>Senna alexandrina</t>
  </si>
  <si>
    <t>سنامكي</t>
  </si>
  <si>
    <t>3/F/61</t>
  </si>
  <si>
    <t>Senna alexandrina (Alexandrian Senna)</t>
  </si>
  <si>
    <t>Serenoa repens (Saw Palmetto)</t>
  </si>
  <si>
    <t>3/D/22B</t>
  </si>
  <si>
    <t>Sesamum indicum</t>
  </si>
  <si>
    <t>سمسم</t>
  </si>
  <si>
    <t>Sesamun indicum</t>
  </si>
  <si>
    <t>Sesuvium verrucosum</t>
  </si>
  <si>
    <t>Setaria verticillata</t>
  </si>
  <si>
    <t>Setcresea pallida (Purple heart)</t>
  </si>
  <si>
    <t>Silene arabica</t>
  </si>
  <si>
    <t>قرحان تربة</t>
  </si>
  <si>
    <t>3/A/16E</t>
  </si>
  <si>
    <t>Silene villosa</t>
  </si>
  <si>
    <t>عطان ,كحلة</t>
  </si>
  <si>
    <t>3/B/23C</t>
  </si>
  <si>
    <t>Simmondsia chinensis/jojoba</t>
  </si>
  <si>
    <t>جوجوبا</t>
  </si>
  <si>
    <t>3/D/56</t>
  </si>
  <si>
    <t>Solanum melongena (Eggplant)</t>
  </si>
  <si>
    <t>باذنجان</t>
  </si>
  <si>
    <t>Solanum nigrum</t>
  </si>
  <si>
    <t>/عنب الديب</t>
  </si>
  <si>
    <t>Solanum tuberosum (Potato)</t>
  </si>
  <si>
    <t>Sonchus oleraceus</t>
  </si>
  <si>
    <t>Spergula fallax</t>
  </si>
  <si>
    <t>3/F/23</t>
  </si>
  <si>
    <t>Sphaeralcea ambigua (Globe Mallow)</t>
  </si>
  <si>
    <t>3/D/57</t>
  </si>
  <si>
    <t>Spinacia oleracea (Spinach)</t>
  </si>
  <si>
    <t>Sporobolus arabicus</t>
  </si>
  <si>
    <t>/صخام, راشد, نجمة</t>
  </si>
  <si>
    <t>3/F/49</t>
  </si>
  <si>
    <t>Stachys byzantine syn Stachys lanata (Lamb's Ears)</t>
  </si>
  <si>
    <t>Stipa capensis</t>
  </si>
  <si>
    <t>سبل أبو الحصين, صمعاء</t>
  </si>
  <si>
    <t>3/A/23B</t>
  </si>
  <si>
    <t>Stipagrostis plumosa</t>
  </si>
  <si>
    <t>نصي ـ ثيغام-أبوركبة شعرية </t>
  </si>
  <si>
    <t>Suaeda baccata</t>
  </si>
  <si>
    <t>خريزة طرطير</t>
  </si>
  <si>
    <t>Suaeda vermiculata</t>
  </si>
  <si>
    <t xml:space="preserve">سويد,سويدة </t>
  </si>
  <si>
    <t>3/B/11</t>
  </si>
  <si>
    <t>Tamaricaceae</t>
  </si>
  <si>
    <t>Tamarix aphylla</t>
  </si>
  <si>
    <t>/الإثل-عثل-الطرفة</t>
  </si>
  <si>
    <t>0.3-0.6m</t>
  </si>
  <si>
    <t>3/E/9</t>
  </si>
  <si>
    <t xml:space="preserve">Tamarix aphylla </t>
  </si>
  <si>
    <t>Tamarix aucherana</t>
  </si>
  <si>
    <t>Tavernica spartea</t>
  </si>
  <si>
    <t>Taverniera aegyptiaca</t>
  </si>
  <si>
    <t>Tecoma stans (Yellow Trumpet Flower)</t>
  </si>
  <si>
    <t>Tecomaria capensis (Cape Honeysuckle)</t>
  </si>
  <si>
    <t>3/C/4</t>
  </si>
  <si>
    <t>Combretaceae</t>
  </si>
  <si>
    <t>Terminalia catappa</t>
  </si>
  <si>
    <t>اللوز الهندي</t>
  </si>
  <si>
    <t>3/A/16F</t>
  </si>
  <si>
    <t>Teucrium polium</t>
  </si>
  <si>
    <t>/جعد</t>
  </si>
  <si>
    <t>0.1-0.3m</t>
  </si>
  <si>
    <t>Thymus citriodorus</t>
  </si>
  <si>
    <t xml:space="preserve">زعتر </t>
  </si>
  <si>
    <r>
      <t xml:space="preserve">Thymus vulgaris </t>
    </r>
    <r>
      <rPr>
        <sz val="10"/>
        <color theme="3" tint="-0.249977111117893"/>
        <rFont val="Verdana"/>
        <family val="2"/>
      </rPr>
      <t>(Garden Thyme)</t>
    </r>
  </si>
  <si>
    <t>زعتر بري</t>
  </si>
  <si>
    <t>Tirmania cambonii</t>
  </si>
  <si>
    <t>Trachelospermum jasminoides (Star Jasmine)</t>
  </si>
  <si>
    <t>Tribulus arabicus</t>
  </si>
  <si>
    <t>/شرشر</t>
  </si>
  <si>
    <t>3/A/23C</t>
  </si>
  <si>
    <t>Tribulus terrestris</t>
  </si>
  <si>
    <t>شرشير, دريسة,حسك,شوك القطب,حمص الأمير</t>
  </si>
  <si>
    <t>20plants</t>
  </si>
  <si>
    <t>3/D/62</t>
  </si>
  <si>
    <t>Tricum vulgare</t>
  </si>
  <si>
    <t>Trigonella anguina</t>
  </si>
  <si>
    <t>حندقوق</t>
  </si>
  <si>
    <t>3/C/25</t>
  </si>
  <si>
    <t>Trigonella foenum-graecum</t>
  </si>
  <si>
    <t>حلبة برية</t>
  </si>
  <si>
    <t>Trigonella stellata</t>
  </si>
  <si>
    <t>Tripleurospermum auriculatum</t>
  </si>
  <si>
    <t>قريص -  قرقاض</t>
  </si>
  <si>
    <t>3/E/28</t>
  </si>
  <si>
    <t>Triticum vulgare</t>
  </si>
  <si>
    <t>قمح</t>
  </si>
  <si>
    <t>3/D/22C</t>
  </si>
  <si>
    <t>Typha domingensis</t>
  </si>
  <si>
    <t>افلح/بربى/بردى/ديس/دنب القطة</t>
  </si>
  <si>
    <t>3/E/17</t>
  </si>
  <si>
    <t>/Al Bardy</t>
  </si>
  <si>
    <t>3/F/62</t>
  </si>
  <si>
    <t>Verbena gooddingii (Goodding's Verbena)</t>
  </si>
  <si>
    <t>Verbena rigida (Sandpaper Verbena)</t>
  </si>
  <si>
    <t>3/B/23D</t>
  </si>
  <si>
    <t>Vicia monantha</t>
  </si>
  <si>
    <r>
      <t>(دُحريج)  (جُلُبان)</t>
    </r>
    <r>
      <rPr>
        <sz val="10"/>
        <color rgb="FF333333"/>
        <rFont val="Arial"/>
        <family val="2"/>
      </rPr>
      <t> , </t>
    </r>
    <r>
      <rPr>
        <sz val="10"/>
        <color rgb="FF228B22"/>
        <rFont val="Arial"/>
        <family val="2"/>
      </rPr>
      <t xml:space="preserve">قرينه غزال </t>
    </r>
  </si>
  <si>
    <t>Vicoa pentanema</t>
  </si>
  <si>
    <t>3/C/25A</t>
  </si>
  <si>
    <t>Vinca minor</t>
  </si>
  <si>
    <t>فينكا</t>
  </si>
  <si>
    <t>3/C/4A</t>
  </si>
  <si>
    <t>Vitaceae</t>
  </si>
  <si>
    <t xml:space="preserve">Vitex agnus castus </t>
  </si>
  <si>
    <t>كف مريم</t>
  </si>
  <si>
    <t>1.8-2m</t>
  </si>
  <si>
    <t>Vitis californica</t>
  </si>
  <si>
    <t>عنب</t>
  </si>
  <si>
    <t>3/C/25B</t>
  </si>
  <si>
    <t>Vitis vinifera</t>
  </si>
  <si>
    <t>vegetable</t>
  </si>
  <si>
    <t>Wedelia trilobata</t>
  </si>
  <si>
    <t>وداليا</t>
  </si>
  <si>
    <t>Westringia fruticosa (Westringia, Coast Rosemary</t>
  </si>
  <si>
    <t>3/F/88</t>
  </si>
  <si>
    <t>Yucca aloifolia (Spanish Bayonet)</t>
  </si>
  <si>
    <t>Yucca baccata (Banana Yucca)</t>
  </si>
  <si>
    <t>3/F/89</t>
  </si>
  <si>
    <t>Yucca gloriosa (Spanish Dagger)</t>
  </si>
  <si>
    <t>Yucca whipplei (Our Lord's Candle)</t>
  </si>
  <si>
    <t>3/D/58</t>
  </si>
  <si>
    <t>Zea mays (Corn)</t>
  </si>
  <si>
    <t>ذرة</t>
  </si>
  <si>
    <t>Zilla spinosa</t>
  </si>
  <si>
    <t>شجا, سيلا, شبرم</t>
  </si>
  <si>
    <t>Zingiber officinale</t>
  </si>
  <si>
    <t>زنجبيل</t>
  </si>
  <si>
    <t>3/E/29</t>
  </si>
  <si>
    <t>Zingiber zerumbet</t>
  </si>
  <si>
    <t>/Zarnab</t>
  </si>
  <si>
    <t>3/B/11A</t>
  </si>
  <si>
    <t>Rhamnaceae</t>
  </si>
  <si>
    <t>Zizuphus jujuba</t>
  </si>
  <si>
    <t>السدر الهندي جوجوبا</t>
  </si>
  <si>
    <t>3/B/23E</t>
  </si>
  <si>
    <t>Zizyphus nummularia</t>
  </si>
  <si>
    <t>السدر البري</t>
  </si>
  <si>
    <t>Zizyphus obtusifolia (Graythorn)</t>
  </si>
  <si>
    <t>3/A/6</t>
  </si>
  <si>
    <t xml:space="preserve">Zizyphus spina-christi </t>
  </si>
  <si>
    <t>السدر النبق</t>
  </si>
  <si>
    <t>1-1.2m</t>
  </si>
  <si>
    <t>Field dug, 4 m - 5 m high from base of runk to top of crown</t>
  </si>
  <si>
    <t>3/C/25C</t>
  </si>
  <si>
    <t>Zoysia tenuifolia</t>
  </si>
  <si>
    <t>حشيش كوري</t>
  </si>
  <si>
    <t>Zygophyllum qatarense</t>
  </si>
  <si>
    <t>/هرم</t>
  </si>
  <si>
    <t>Zygophyllum simplex</t>
  </si>
  <si>
    <t>/هرم-هريم-دعا</t>
  </si>
  <si>
    <t>Acacia Saligna</t>
  </si>
  <si>
    <t>Total</t>
  </si>
  <si>
    <t>plants/qrM1</t>
  </si>
  <si>
    <t>plants/qrM2</t>
  </si>
  <si>
    <t>plants/qr M1&amp;2</t>
  </si>
  <si>
    <t>plants invoiced</t>
  </si>
  <si>
    <t>new invoice</t>
  </si>
  <si>
    <t>Shade House No.1</t>
  </si>
  <si>
    <t>Right Side</t>
  </si>
  <si>
    <t>Left Side</t>
  </si>
  <si>
    <t>Ruellia Britoniana</t>
  </si>
  <si>
    <t>Ruellia deserti</t>
  </si>
  <si>
    <t>Allamanda cathartica</t>
  </si>
  <si>
    <t>Euphorbia biglandulosa/rigida</t>
  </si>
  <si>
    <t>Euphorbia myrsintes</t>
  </si>
  <si>
    <t>Leptadinia</t>
  </si>
  <si>
    <t>Salvia farinacea/blue sage</t>
  </si>
  <si>
    <t>edraianthus Grassy Bells</t>
  </si>
  <si>
    <t>Thymus vulgaris(Garden thyme)</t>
  </si>
  <si>
    <t>Acacia saligna</t>
  </si>
  <si>
    <t>Shade House No.2</t>
  </si>
  <si>
    <t>Cyprus congloramatus</t>
  </si>
  <si>
    <t>Acacia farnesiana</t>
  </si>
  <si>
    <t>Lavandula officinalis(angustifolia)</t>
  </si>
  <si>
    <t xml:space="preserve">Myrtus communis </t>
  </si>
  <si>
    <t>Tot</t>
  </si>
  <si>
    <t>Pot</t>
  </si>
  <si>
    <t>Line</t>
  </si>
  <si>
    <t>Name</t>
  </si>
  <si>
    <t>Lycium Shawi</t>
  </si>
  <si>
    <t>Acacia arabica /Acacia nilotica</t>
  </si>
  <si>
    <t xml:space="preserve">Acacia arabica /Acacia nilotica </t>
  </si>
  <si>
    <t xml:space="preserve">Prosopis cineraria </t>
  </si>
  <si>
    <t xml:space="preserve">Acacia stenophilla </t>
  </si>
  <si>
    <t>Parkensonia</t>
  </si>
  <si>
    <t>Cassia Alata</t>
  </si>
  <si>
    <t>Boug sandiago</t>
  </si>
  <si>
    <t>Boug butonia tempel fire</t>
  </si>
  <si>
    <t>Boug tropical bouqaih</t>
  </si>
  <si>
    <t>jatrova</t>
  </si>
  <si>
    <t>Boug tourch glow</t>
  </si>
  <si>
    <t>Boug super station gold</t>
  </si>
  <si>
    <t>Boug rosenki</t>
  </si>
  <si>
    <t>Boug lajula temper fire</t>
  </si>
  <si>
    <t>Boug california</t>
  </si>
  <si>
    <t>Boug ras beri ice</t>
  </si>
  <si>
    <t>musa</t>
  </si>
  <si>
    <t>Boug crimson jewel</t>
  </si>
  <si>
    <t>Boug butonia madona</t>
  </si>
  <si>
    <t>Acacia Arabica</t>
  </si>
  <si>
    <t>Bougainvilla</t>
  </si>
  <si>
    <t>Agav</t>
  </si>
  <si>
    <t>Dodonia</t>
  </si>
  <si>
    <t>Carrisa</t>
  </si>
  <si>
    <t>Simondosia</t>
  </si>
  <si>
    <t>Ipomia</t>
  </si>
  <si>
    <t>Cortaderia</t>
  </si>
  <si>
    <t>Thymus</t>
  </si>
  <si>
    <t>Legend:</t>
  </si>
  <si>
    <t>Category</t>
  </si>
  <si>
    <t>Type A</t>
  </si>
  <si>
    <t>Type B</t>
  </si>
  <si>
    <t>Type C</t>
  </si>
  <si>
    <t>TypeD</t>
  </si>
  <si>
    <t>Q.Garden</t>
  </si>
  <si>
    <t>Item Canceld</t>
  </si>
  <si>
    <t>Shrubs,GC,Grass,Vines,Annuals Type A</t>
  </si>
  <si>
    <t>Shrubs,GC,Grass,Vines,Annuals Type B</t>
  </si>
  <si>
    <t>Shrubs,GC,Grass,Vines,Annuals Type C&amp;D</t>
  </si>
  <si>
    <t>sub Total</t>
  </si>
  <si>
    <t>Heritage Garden/Vegetables</t>
  </si>
  <si>
    <t>Seeds</t>
  </si>
  <si>
    <t>T. M1</t>
  </si>
  <si>
    <t>T. M2</t>
  </si>
  <si>
    <t>T. M 1+2</t>
  </si>
  <si>
    <t>Total Available/Layout</t>
  </si>
  <si>
    <t>Outside 1</t>
  </si>
  <si>
    <t>Outside 2</t>
  </si>
  <si>
    <t>Balance/ Projects vers production up to Apr2015.</t>
  </si>
  <si>
    <t>Polyethiline 1</t>
  </si>
  <si>
    <t>Hemerocallis Ardic sand</t>
  </si>
  <si>
    <t xml:space="preserve">Rosa x Fairhope </t>
  </si>
  <si>
    <t xml:space="preserve">Rosa x Graham Thomas </t>
  </si>
  <si>
    <t xml:space="preserve">Rosa x Marmalade Skies </t>
  </si>
  <si>
    <t xml:space="preserve">Rosa x Mister Lincoln </t>
  </si>
  <si>
    <t xml:space="preserve">Rosa x Brass Band  </t>
  </si>
  <si>
    <t>Lemon Bell</t>
  </si>
  <si>
    <t>Polyethiline2</t>
  </si>
  <si>
    <t>Balance/ projects vers production up to Dec.201</t>
  </si>
  <si>
    <t>Balance/ Tot. Projects vers Tot. production</t>
  </si>
  <si>
    <t>Dec.2014</t>
  </si>
  <si>
    <t>13-20/12/2014</t>
  </si>
  <si>
    <t xml:space="preserve"> Requst 1-8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</si>
</sst>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6"/>
      <color indexed="8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7.5"/>
      <color theme="1"/>
      <name val="Verdana"/>
      <family val="2"/>
    </font>
    <font>
      <sz val="8"/>
      <color theme="1"/>
      <name val="Verdana"/>
      <family val="2"/>
    </font>
    <font>
      <sz val="10"/>
      <name val="Verdana"/>
      <family val="2"/>
    </font>
    <font>
      <sz val="10"/>
      <color rgb="FF00B050"/>
      <name val="Verdana"/>
      <family val="2"/>
    </font>
    <font>
      <sz val="10"/>
      <color rgb="FFFF0000"/>
      <name val="Verdana"/>
      <family val="2"/>
    </font>
    <font>
      <sz val="10"/>
      <color rgb="FF7030A0"/>
      <name val="Verdana"/>
      <family val="2"/>
    </font>
    <font>
      <sz val="10"/>
      <color theme="3" tint="-0.249977111117893"/>
      <name val="Verdana"/>
      <family val="2"/>
    </font>
    <font>
      <sz val="10"/>
      <color theme="7" tint="-0.249977111117893"/>
      <name val="Verdana"/>
      <family val="2"/>
    </font>
    <font>
      <sz val="13.5"/>
      <color rgb="FF000000"/>
      <name val="Arial"/>
      <family val="2"/>
    </font>
    <font>
      <sz val="10"/>
      <color rgb="FF333333"/>
      <name val="Arial"/>
      <family val="2"/>
    </font>
    <font>
      <sz val="10"/>
      <color rgb="FF228B22"/>
      <name val="Arial"/>
      <family val="2"/>
    </font>
    <font>
      <b/>
      <u/>
      <sz val="11"/>
      <color theme="1"/>
      <name val="Verdana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  <font>
      <b/>
      <sz val="10"/>
      <color rgb="FFFF000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99">
    <xf numFmtId="0" fontId="0" fillId="0" borderId="0" xfId="0"/>
    <xf numFmtId="0" fontId="3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0" borderId="0" xfId="0" applyFont="1"/>
    <xf numFmtId="0" fontId="7" fillId="3" borderId="6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3" fontId="6" fillId="10" borderId="6" xfId="0" applyNumberFormat="1" applyFont="1" applyFill="1" applyBorder="1" applyAlignment="1">
      <alignment horizontal="right" vertical="center" wrapText="1" readingOrder="1"/>
    </xf>
    <xf numFmtId="3" fontId="6" fillId="0" borderId="6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7" fillId="11" borderId="6" xfId="0" applyNumberFormat="1" applyFont="1" applyFill="1" applyBorder="1" applyAlignment="1">
      <alignment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6" fillId="7" borderId="6" xfId="0" applyNumberFormat="1" applyFont="1" applyFill="1" applyBorder="1" applyAlignment="1">
      <alignment horizontal="center" vertical="center" wrapText="1" readingOrder="1"/>
    </xf>
    <xf numFmtId="3" fontId="6" fillId="10" borderId="6" xfId="0" applyNumberFormat="1" applyFont="1" applyFill="1" applyBorder="1" applyAlignment="1">
      <alignment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6" fillId="0" borderId="0" xfId="0" applyNumberFormat="1" applyFont="1"/>
    <xf numFmtId="0" fontId="6" fillId="12" borderId="6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 wrapText="1"/>
    </xf>
    <xf numFmtId="3" fontId="6" fillId="12" borderId="6" xfId="0" applyNumberFormat="1" applyFont="1" applyFill="1" applyBorder="1" applyAlignment="1">
      <alignment vertical="center" wrapText="1"/>
    </xf>
    <xf numFmtId="0" fontId="6" fillId="13" borderId="6" xfId="0" applyFont="1" applyFill="1" applyBorder="1" applyAlignment="1">
      <alignment vertical="center" wrapText="1"/>
    </xf>
    <xf numFmtId="0" fontId="6" fillId="10" borderId="6" xfId="0" applyFont="1" applyFill="1" applyBorder="1" applyAlignment="1">
      <alignment vertical="center" wrapText="1" readingOrder="1"/>
    </xf>
    <xf numFmtId="0" fontId="13" fillId="0" borderId="6" xfId="0" applyFont="1" applyBorder="1" applyAlignment="1">
      <alignment vertical="center" wrapText="1"/>
    </xf>
    <xf numFmtId="3" fontId="6" fillId="7" borderId="6" xfId="0" applyNumberFormat="1" applyFont="1" applyFill="1" applyBorder="1" applyAlignment="1">
      <alignment horizontal="right" vertical="center" wrapText="1" readingOrder="1"/>
    </xf>
    <xf numFmtId="3" fontId="13" fillId="0" borderId="6" xfId="0" applyNumberFormat="1" applyFont="1" applyBorder="1" applyAlignment="1">
      <alignment vertical="center" wrapText="1"/>
    </xf>
    <xf numFmtId="3" fontId="6" fillId="5" borderId="6" xfId="0" applyNumberFormat="1" applyFont="1" applyFill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12" fillId="13" borderId="6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6" fillId="14" borderId="6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6" fillId="15" borderId="6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3" fontId="6" fillId="16" borderId="6" xfId="0" applyNumberFormat="1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6" fillId="17" borderId="6" xfId="0" applyFont="1" applyFill="1" applyBorder="1" applyAlignment="1">
      <alignment vertical="center" wrapText="1"/>
    </xf>
    <xf numFmtId="3" fontId="12" fillId="4" borderId="6" xfId="0" applyNumberFormat="1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vertical="center" wrapText="1"/>
    </xf>
    <xf numFmtId="3" fontId="12" fillId="0" borderId="6" xfId="0" applyNumberFormat="1" applyFont="1" applyFill="1" applyBorder="1" applyAlignment="1" applyProtection="1">
      <alignment horizontal="center" vertical="center" wrapText="1"/>
    </xf>
    <xf numFmtId="0" fontId="6" fillId="1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 wrapText="1"/>
    </xf>
    <xf numFmtId="3" fontId="6" fillId="7" borderId="6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20" borderId="6" xfId="0" applyFont="1" applyFill="1" applyBorder="1" applyAlignment="1">
      <alignment vertical="center" wrapText="1"/>
    </xf>
    <xf numFmtId="3" fontId="6" fillId="0" borderId="6" xfId="0" applyNumberFormat="1" applyFont="1" applyBorder="1"/>
    <xf numFmtId="3" fontId="6" fillId="0" borderId="6" xfId="0" applyNumberFormat="1" applyFont="1" applyBorder="1" applyAlignment="1">
      <alignment horizontal="right" vertical="center"/>
    </xf>
    <xf numFmtId="3" fontId="6" fillId="6" borderId="6" xfId="0" applyNumberFormat="1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3" fontId="6" fillId="10" borderId="6" xfId="0" applyNumberFormat="1" applyFont="1" applyFill="1" applyBorder="1" applyAlignment="1">
      <alignment horizontal="center" vertical="center" wrapText="1" readingOrder="1"/>
    </xf>
    <xf numFmtId="3" fontId="12" fillId="7" borderId="6" xfId="0" applyNumberFormat="1" applyFont="1" applyFill="1" applyBorder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 wrapText="1"/>
    </xf>
    <xf numFmtId="0" fontId="6" fillId="22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3" fontId="6" fillId="6" borderId="6" xfId="0" applyNumberFormat="1" applyFont="1" applyFill="1" applyBorder="1" applyAlignment="1">
      <alignment horizontal="center" vertical="center"/>
    </xf>
    <xf numFmtId="3" fontId="6" fillId="10" borderId="6" xfId="0" applyNumberFormat="1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vertical="center" wrapText="1"/>
    </xf>
    <xf numFmtId="0" fontId="6" fillId="10" borderId="6" xfId="0" applyFont="1" applyFill="1" applyBorder="1" applyAlignment="1">
      <alignment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vertical="center" wrapText="1"/>
    </xf>
    <xf numFmtId="3" fontId="6" fillId="0" borderId="0" xfId="0" applyNumberFormat="1" applyFont="1" applyAlignment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2" fillId="0" borderId="0" xfId="0" applyNumberFormat="1" applyFont="1" applyFill="1" applyAlignment="1" applyProtection="1">
      <alignment horizontal="center" vertical="center" wrapText="1"/>
    </xf>
    <xf numFmtId="3" fontId="12" fillId="7" borderId="6" xfId="0" applyNumberFormat="1" applyFont="1" applyFill="1" applyBorder="1" applyAlignment="1">
      <alignment horizontal="center" vertical="center" wrapText="1" readingOrder="1"/>
    </xf>
    <xf numFmtId="3" fontId="6" fillId="0" borderId="7" xfId="0" applyNumberFormat="1" applyFont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vertical="center" wrapText="1"/>
    </xf>
    <xf numFmtId="0" fontId="12" fillId="0" borderId="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8" xfId="0" applyFont="1" applyBorder="1" applyAlignment="1">
      <alignment vertical="center"/>
    </xf>
    <xf numFmtId="0" fontId="8" fillId="0" borderId="6" xfId="0" applyFont="1" applyBorder="1"/>
    <xf numFmtId="0" fontId="6" fillId="0" borderId="0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vertical="center"/>
    </xf>
    <xf numFmtId="3" fontId="6" fillId="0" borderId="6" xfId="1" applyNumberFormat="1" applyFont="1" applyBorder="1" applyAlignment="1">
      <alignment vertical="center" wrapText="1"/>
    </xf>
    <xf numFmtId="3" fontId="6" fillId="0" borderId="0" xfId="0" applyNumberFormat="1" applyFont="1" applyBorder="1"/>
    <xf numFmtId="3" fontId="12" fillId="0" borderId="0" xfId="0" applyNumberFormat="1" applyFont="1" applyFill="1" applyBorder="1" applyAlignment="1" applyProtection="1">
      <alignment vertical="center" wrapText="1"/>
    </xf>
    <xf numFmtId="3" fontId="7" fillId="0" borderId="0" xfId="0" applyNumberFormat="1" applyFont="1" applyAlignment="1">
      <alignment horizontal="center" vertical="center"/>
    </xf>
    <xf numFmtId="3" fontId="6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1" applyNumberFormat="1" applyFont="1"/>
    <xf numFmtId="3" fontId="7" fillId="24" borderId="6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6" fillId="2" borderId="6" xfId="0" applyNumberFormat="1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0" fillId="9" borderId="9" xfId="0" applyNumberForma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3" fontId="0" fillId="9" borderId="6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23" fillId="3" borderId="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6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3" fillId="0" borderId="6" xfId="0" applyFont="1" applyFill="1" applyBorder="1" applyAlignment="1">
      <alignment horizontal="center" vertical="center" wrapText="1"/>
    </xf>
    <xf numFmtId="3" fontId="24" fillId="0" borderId="6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3" fontId="23" fillId="3" borderId="6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3" fontId="23" fillId="9" borderId="6" xfId="0" applyNumberFormat="1" applyFont="1" applyFill="1" applyBorder="1" applyAlignment="1">
      <alignment horizontal="center" vertical="center" wrapText="1"/>
    </xf>
    <xf numFmtId="3" fontId="23" fillId="0" borderId="0" xfId="0" applyNumberFormat="1" applyFont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3" fontId="6" fillId="3" borderId="0" xfId="0" applyNumberFormat="1" applyFont="1" applyFill="1"/>
    <xf numFmtId="3" fontId="7" fillId="0" borderId="0" xfId="0" applyNumberFormat="1" applyFont="1" applyBorder="1" applyAlignment="1">
      <alignment horizontal="center" vertical="center" wrapText="1"/>
    </xf>
    <xf numFmtId="3" fontId="6" fillId="7" borderId="6" xfId="0" applyNumberFormat="1" applyFont="1" applyFill="1" applyBorder="1" applyAlignment="1">
      <alignment horizontal="center" vertical="center"/>
    </xf>
    <xf numFmtId="3" fontId="14" fillId="10" borderId="6" xfId="0" applyNumberFormat="1" applyFont="1" applyFill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/>
    </xf>
    <xf numFmtId="3" fontId="12" fillId="0" borderId="6" xfId="0" applyNumberFormat="1" applyFont="1" applyBorder="1" applyAlignment="1">
      <alignment horizontal="center" vertical="center" wrapText="1"/>
    </xf>
    <xf numFmtId="3" fontId="6" fillId="10" borderId="0" xfId="0" applyNumberFormat="1" applyFont="1" applyFill="1" applyAlignment="1">
      <alignment horizontal="center" vertical="center" wrapText="1" readingOrder="1"/>
    </xf>
    <xf numFmtId="3" fontId="6" fillId="7" borderId="0" xfId="0" applyNumberFormat="1" applyFont="1" applyFill="1" applyAlignment="1">
      <alignment horizontal="center" vertical="center" wrapText="1" readingOrder="1"/>
    </xf>
    <xf numFmtId="3" fontId="12" fillId="7" borderId="6" xfId="0" applyNumberFormat="1" applyFont="1" applyFill="1" applyBorder="1" applyAlignment="1">
      <alignment horizontal="center" vertical="center"/>
    </xf>
    <xf numFmtId="3" fontId="12" fillId="10" borderId="6" xfId="0" applyNumberFormat="1" applyFont="1" applyFill="1" applyBorder="1" applyAlignment="1">
      <alignment horizontal="center" vertical="center" wrapText="1" readingOrder="1"/>
    </xf>
    <xf numFmtId="3" fontId="14" fillId="0" borderId="6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3" fontId="6" fillId="10" borderId="6" xfId="0" applyNumberFormat="1" applyFont="1" applyFill="1" applyBorder="1" applyAlignment="1">
      <alignment horizontal="center" vertical="center" wrapText="1"/>
    </xf>
    <xf numFmtId="3" fontId="6" fillId="12" borderId="6" xfId="0" applyNumberFormat="1" applyFont="1" applyFill="1" applyBorder="1" applyAlignment="1">
      <alignment horizontal="center" vertical="center" wrapText="1"/>
    </xf>
    <xf numFmtId="3" fontId="6" fillId="0" borderId="6" xfId="1" applyNumberFormat="1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textRotation="90" wrapText="1"/>
    </xf>
    <xf numFmtId="3" fontId="0" fillId="3" borderId="9" xfId="0" applyNumberFormat="1" applyFill="1" applyBorder="1" applyAlignment="1">
      <alignment horizontal="center" vertical="center" wrapText="1"/>
    </xf>
    <xf numFmtId="0" fontId="24" fillId="0" borderId="4" xfId="0" applyFont="1" applyBorder="1" applyAlignment="1">
      <alignment vertical="center" textRotation="90" wrapText="1"/>
    </xf>
    <xf numFmtId="0" fontId="6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3" fontId="0" fillId="0" borderId="6" xfId="0" applyNumberFormat="1" applyBorder="1"/>
    <xf numFmtId="0" fontId="24" fillId="0" borderId="4" xfId="0" applyFont="1" applyBorder="1" applyAlignment="1">
      <alignment horizontal="center" vertical="center" textRotation="90" wrapText="1"/>
    </xf>
    <xf numFmtId="3" fontId="12" fillId="7" borderId="0" xfId="0" applyNumberFormat="1" applyFont="1" applyFill="1" applyAlignment="1">
      <alignment horizontal="center" vertical="center" wrapText="1" readingOrder="1"/>
    </xf>
    <xf numFmtId="9" fontId="7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textRotation="90" wrapText="1"/>
    </xf>
    <xf numFmtId="0" fontId="24" fillId="0" borderId="3" xfId="0" applyFont="1" applyBorder="1" applyAlignment="1">
      <alignment horizontal="center" vertical="center" textRotation="90" wrapText="1"/>
    </xf>
    <xf numFmtId="0" fontId="24" fillId="0" borderId="4" xfId="0" applyFont="1" applyBorder="1" applyAlignment="1">
      <alignment horizontal="center" vertical="center" textRotation="90" wrapText="1"/>
    </xf>
    <xf numFmtId="3" fontId="6" fillId="0" borderId="7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14"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2F2F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2F2F"/>
        </patternFill>
      </fill>
    </dxf>
    <dxf>
      <fill>
        <patternFill patternType="solid">
          <fgColor rgb="FFFF2F2F"/>
          <bgColor rgb="FFFFFFFF"/>
        </patternFill>
      </fill>
    </dxf>
    <dxf>
      <fill>
        <patternFill patternType="solid">
          <fgColor rgb="FFFF2F2F"/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2F2F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2F2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171450</xdr:colOff>
      <xdr:row>0</xdr:row>
      <xdr:rowOff>85725</xdr:rowOff>
    </xdr:from>
    <xdr:to>
      <xdr:col>56</xdr:col>
      <xdr:colOff>189558</xdr:colOff>
      <xdr:row>0</xdr:row>
      <xdr:rowOff>781050</xdr:rowOff>
    </xdr:to>
    <xdr:pic>
      <xdr:nvPicPr>
        <xdr:cNvPr id="2" name="Picture 10" descr="PERGOLA_1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38800" y="85725"/>
          <a:ext cx="856308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180975</xdr:colOff>
      <xdr:row>0</xdr:row>
      <xdr:rowOff>180975</xdr:rowOff>
    </xdr:from>
    <xdr:to>
      <xdr:col>14</xdr:col>
      <xdr:colOff>182630</xdr:colOff>
      <xdr:row>0</xdr:row>
      <xdr:rowOff>742950</xdr:rowOff>
    </xdr:to>
    <xdr:pic>
      <xdr:nvPicPr>
        <xdr:cNvPr id="3" name="Picture 12" descr="ASTADLogo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71925" y="180975"/>
          <a:ext cx="209715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428625</xdr:colOff>
      <xdr:row>0</xdr:row>
      <xdr:rowOff>57150</xdr:rowOff>
    </xdr:from>
    <xdr:to>
      <xdr:col>5</xdr:col>
      <xdr:colOff>647699</xdr:colOff>
      <xdr:row>0</xdr:row>
      <xdr:rowOff>762000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" y="57150"/>
          <a:ext cx="819149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657225</xdr:colOff>
      <xdr:row>0</xdr:row>
      <xdr:rowOff>187698</xdr:rowOff>
    </xdr:from>
    <xdr:to>
      <xdr:col>48</xdr:col>
      <xdr:colOff>515695</xdr:colOff>
      <xdr:row>0</xdr:row>
      <xdr:rowOff>714375</xdr:rowOff>
    </xdr:to>
    <xdr:pic>
      <xdr:nvPicPr>
        <xdr:cNvPr id="5" name="Picture 7" descr="STANDARD PARSONS' LOGO.png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384000" y="187698"/>
          <a:ext cx="2258770" cy="2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737"/>
  <sheetViews>
    <sheetView tabSelected="1" view="pageBreakPreview" zoomScaleSheetLayoutView="100" workbookViewId="0">
      <pane xSplit="2" ySplit="3" topLeftCell="C595" activePane="bottomRight" state="frozen"/>
      <selection activeCell="AC2" sqref="AC2"/>
      <selection pane="topRight" activeCell="AC2" sqref="AC2"/>
      <selection pane="bottomLeft" activeCell="AC2" sqref="AC2"/>
      <selection pane="bottomRight" activeCell="W597" sqref="W597"/>
    </sheetView>
  </sheetViews>
  <sheetFormatPr defaultRowHeight="28.5" customHeight="1" outlineLevelCol="1"/>
  <cols>
    <col min="1" max="1" width="4.42578125" bestFit="1" customWidth="1"/>
    <col min="2" max="2" width="6.7109375" hidden="1" customWidth="1"/>
    <col min="3" max="3" width="9" customWidth="1"/>
    <col min="4" max="4" width="15.28515625" hidden="1" customWidth="1"/>
    <col min="5" max="5" width="10.28515625" hidden="1" customWidth="1"/>
    <col min="6" max="6" width="12.28515625" customWidth="1"/>
    <col min="7" max="7" width="12.140625" hidden="1" customWidth="1"/>
    <col min="8" max="8" width="7.28515625" style="92" customWidth="1"/>
    <col min="9" max="9" width="15.7109375" style="92" customWidth="1"/>
    <col min="10" max="11" width="15.7109375" style="92" hidden="1" customWidth="1"/>
    <col min="12" max="12" width="8.140625" style="92" customWidth="1"/>
    <col min="13" max="13" width="11.140625" style="92" hidden="1" customWidth="1"/>
    <col min="14" max="14" width="31.42578125" style="92" customWidth="1"/>
    <col min="15" max="15" width="10.42578125" style="92" customWidth="1"/>
    <col min="16" max="16" width="6.85546875" customWidth="1"/>
    <col min="17" max="17" width="15.140625" style="92" customWidth="1"/>
    <col min="18" max="18" width="15.5703125" style="92" customWidth="1"/>
    <col min="19" max="19" width="10" customWidth="1"/>
    <col min="20" max="20" width="13.28515625" style="92" customWidth="1"/>
    <col min="21" max="21" width="12.28515625" customWidth="1"/>
    <col min="22" max="22" width="10" customWidth="1" outlineLevel="1"/>
    <col min="23" max="23" width="13.28515625" style="92" customWidth="1" outlineLevel="1"/>
    <col min="24" max="24" width="10" customWidth="1"/>
    <col min="25" max="25" width="12.42578125" style="92" customWidth="1" outlineLevel="1"/>
    <col min="26" max="26" width="12.28515625" style="92" customWidth="1" outlineLevel="1"/>
    <col min="27" max="29" width="10.28515625" customWidth="1"/>
    <col min="30" max="31" width="10.7109375" customWidth="1"/>
    <col min="32" max="37" width="10.28515625" customWidth="1"/>
    <col min="38" max="39" width="11.7109375" customWidth="1"/>
    <col min="40" max="40" width="12.7109375" customWidth="1"/>
    <col min="41" max="41" width="10.28515625" customWidth="1"/>
    <col min="42" max="44" width="10.28515625" hidden="1" customWidth="1"/>
    <col min="45" max="45" width="10.7109375" hidden="1" customWidth="1"/>
    <col min="46" max="47" width="10" customWidth="1"/>
    <col min="48" max="48" width="9.5703125" customWidth="1"/>
    <col min="49" max="50" width="9.7109375" customWidth="1"/>
    <col min="51" max="52" width="10.85546875" customWidth="1" outlineLevel="1"/>
    <col min="53" max="53" width="11.7109375" customWidth="1"/>
    <col min="54" max="54" width="12.7109375" customWidth="1"/>
    <col min="55" max="55" width="12.5703125" customWidth="1"/>
    <col min="56" max="56" width="12.28515625" hidden="1" customWidth="1"/>
    <col min="57" max="57" width="8.28515625" style="92" customWidth="1" outlineLevel="1"/>
    <col min="58" max="58" width="12.28515625" customWidth="1"/>
    <col min="59" max="60" width="11.7109375" customWidth="1"/>
    <col min="61" max="61" width="15.42578125" bestFit="1" customWidth="1"/>
    <col min="62" max="63" width="11.7109375" customWidth="1"/>
    <col min="64" max="65" width="10" customWidth="1"/>
    <col min="66" max="67" width="10" bestFit="1" customWidth="1"/>
    <col min="68" max="68" width="11.7109375" bestFit="1" customWidth="1"/>
    <col min="69" max="69" width="10" bestFit="1" customWidth="1"/>
    <col min="70" max="70" width="9.5703125" bestFit="1" customWidth="1"/>
  </cols>
  <sheetData>
    <row r="1" spans="1:70" s="2" customFormat="1" ht="71.25" customHeight="1" thickBot="1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80"/>
      <c r="BF1" s="164"/>
      <c r="BG1" s="164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s="6" customFormat="1" ht="41.25" customHeight="1">
      <c r="A2" s="175" t="s">
        <v>1</v>
      </c>
      <c r="B2" s="162" t="s">
        <v>2</v>
      </c>
      <c r="C2" s="175" t="s">
        <v>3</v>
      </c>
      <c r="D2" s="175" t="s">
        <v>4</v>
      </c>
      <c r="E2" s="175" t="s">
        <v>5</v>
      </c>
      <c r="F2" s="175" t="s">
        <v>6</v>
      </c>
      <c r="G2" s="175" t="s">
        <v>7</v>
      </c>
      <c r="H2" s="175" t="s">
        <v>8</v>
      </c>
      <c r="I2" s="175" t="s">
        <v>9</v>
      </c>
      <c r="J2" s="176" t="s">
        <v>8</v>
      </c>
      <c r="K2" s="176" t="s">
        <v>14</v>
      </c>
      <c r="L2" s="175" t="s">
        <v>10</v>
      </c>
      <c r="M2" s="175" t="s">
        <v>11</v>
      </c>
      <c r="N2" s="175" t="s">
        <v>12</v>
      </c>
      <c r="O2" s="175" t="s">
        <v>13</v>
      </c>
      <c r="P2" s="175" t="s">
        <v>15</v>
      </c>
      <c r="Q2" s="175" t="s">
        <v>16</v>
      </c>
      <c r="R2" s="175" t="s">
        <v>17</v>
      </c>
      <c r="S2" s="175" t="s">
        <v>18</v>
      </c>
      <c r="T2" s="175" t="s">
        <v>19</v>
      </c>
      <c r="U2" s="175" t="s">
        <v>20</v>
      </c>
      <c r="V2" s="175" t="s">
        <v>21</v>
      </c>
      <c r="W2" s="175" t="s">
        <v>22</v>
      </c>
      <c r="X2" s="175" t="s">
        <v>23</v>
      </c>
      <c r="Y2" s="175" t="s">
        <v>24</v>
      </c>
      <c r="Z2" s="175" t="s">
        <v>25</v>
      </c>
      <c r="AA2" s="181" t="s">
        <v>26</v>
      </c>
      <c r="AB2" s="182"/>
      <c r="AC2" s="182"/>
      <c r="AD2" s="182"/>
      <c r="AE2" s="182"/>
      <c r="AF2" s="183"/>
      <c r="AG2" s="184" t="s">
        <v>27</v>
      </c>
      <c r="AH2" s="185"/>
      <c r="AI2" s="185"/>
      <c r="AJ2" s="185"/>
      <c r="AK2" s="186"/>
      <c r="AL2" s="187" t="s">
        <v>28</v>
      </c>
      <c r="AM2" s="188"/>
      <c r="AN2" s="188"/>
      <c r="AO2" s="188"/>
      <c r="AP2" s="188"/>
      <c r="AQ2" s="188"/>
      <c r="AR2" s="188"/>
      <c r="AS2" s="189"/>
      <c r="AT2" s="190" t="s">
        <v>29</v>
      </c>
      <c r="AU2" s="191"/>
      <c r="AV2" s="4" t="s">
        <v>28</v>
      </c>
      <c r="AW2" s="3" t="s">
        <v>26</v>
      </c>
      <c r="AX2" s="5" t="s">
        <v>29</v>
      </c>
      <c r="AY2" s="175" t="s">
        <v>31</v>
      </c>
      <c r="AZ2" s="175" t="s">
        <v>1349</v>
      </c>
      <c r="BA2" s="175" t="s">
        <v>32</v>
      </c>
      <c r="BB2" s="176" t="s">
        <v>1362</v>
      </c>
      <c r="BC2" s="176" t="s">
        <v>1352</v>
      </c>
      <c r="BD2" s="175" t="s">
        <v>1363</v>
      </c>
      <c r="BE2" s="175" t="s">
        <v>33</v>
      </c>
      <c r="BF2" s="162" t="s">
        <v>34</v>
      </c>
      <c r="BG2" s="173" t="s">
        <v>35</v>
      </c>
      <c r="BH2" s="173" t="s">
        <v>36</v>
      </c>
      <c r="BI2" s="173" t="s">
        <v>35</v>
      </c>
      <c r="BJ2" s="173" t="s">
        <v>36</v>
      </c>
      <c r="BK2" s="173" t="s">
        <v>37</v>
      </c>
      <c r="BL2" s="174" t="s">
        <v>38</v>
      </c>
      <c r="BM2" s="174" t="s">
        <v>39</v>
      </c>
      <c r="BN2" s="174" t="s">
        <v>40</v>
      </c>
      <c r="BO2" s="174" t="s">
        <v>41</v>
      </c>
      <c r="BP2" s="174" t="s">
        <v>42</v>
      </c>
      <c r="BQ2" s="174" t="s">
        <v>42</v>
      </c>
      <c r="BR2" s="5" t="s">
        <v>43</v>
      </c>
    </row>
    <row r="3" spans="1:70" s="6" customFormat="1" ht="41.25" customHeight="1">
      <c r="A3" s="174"/>
      <c r="B3" s="16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 t="s">
        <v>44</v>
      </c>
      <c r="AA3" s="7" t="s">
        <v>30</v>
      </c>
      <c r="AB3" s="8">
        <v>41947</v>
      </c>
      <c r="AC3" s="9">
        <v>41952</v>
      </c>
      <c r="AD3" s="9">
        <v>41959</v>
      </c>
      <c r="AE3" s="9">
        <v>41966</v>
      </c>
      <c r="AF3" s="9">
        <v>41974</v>
      </c>
      <c r="AG3" s="10" t="s">
        <v>30</v>
      </c>
      <c r="AH3" s="11">
        <v>42019</v>
      </c>
      <c r="AI3" s="11">
        <v>42036</v>
      </c>
      <c r="AJ3" s="11">
        <v>42064</v>
      </c>
      <c r="AK3" s="11">
        <v>42095</v>
      </c>
      <c r="AL3" s="12" t="s">
        <v>30</v>
      </c>
      <c r="AM3" s="14" t="s">
        <v>1366</v>
      </c>
      <c r="AN3" s="13" t="s">
        <v>1365</v>
      </c>
      <c r="AO3" s="13">
        <v>42158</v>
      </c>
      <c r="AP3" s="13">
        <v>41998</v>
      </c>
      <c r="AQ3" s="13">
        <v>41664</v>
      </c>
      <c r="AR3" s="13">
        <v>42060</v>
      </c>
      <c r="AS3" s="14" t="s">
        <v>45</v>
      </c>
      <c r="AT3" s="5" t="s">
        <v>30</v>
      </c>
      <c r="AU3" s="5" t="s">
        <v>1364</v>
      </c>
      <c r="AV3" s="15" t="s">
        <v>46</v>
      </c>
      <c r="AW3" s="16" t="s">
        <v>47</v>
      </c>
      <c r="AX3" s="17" t="s">
        <v>46</v>
      </c>
      <c r="AY3" s="174"/>
      <c r="AZ3" s="174"/>
      <c r="BA3" s="174"/>
      <c r="BB3" s="174"/>
      <c r="BC3" s="174"/>
      <c r="BD3" s="174"/>
      <c r="BE3" s="174"/>
      <c r="BF3" s="163"/>
      <c r="BG3" s="174"/>
      <c r="BH3" s="174"/>
      <c r="BI3" s="174"/>
      <c r="BJ3" s="174"/>
      <c r="BK3" s="174"/>
      <c r="BL3" s="177"/>
      <c r="BM3" s="177"/>
      <c r="BN3" s="177"/>
      <c r="BO3" s="177"/>
      <c r="BP3" s="177"/>
      <c r="BQ3" s="177"/>
      <c r="BR3" s="17"/>
    </row>
    <row r="4" spans="1:70" s="6" customFormat="1" ht="41.25" customHeight="1">
      <c r="A4" s="18">
        <v>1</v>
      </c>
      <c r="B4" s="18" t="s">
        <v>66</v>
      </c>
      <c r="C4" s="18" t="s">
        <v>67</v>
      </c>
      <c r="D4" s="36" t="s">
        <v>68</v>
      </c>
      <c r="E4" s="22" t="s">
        <v>69</v>
      </c>
      <c r="F4" s="36" t="s">
        <v>70</v>
      </c>
      <c r="G4" s="36" t="s">
        <v>70</v>
      </c>
      <c r="H4" s="22"/>
      <c r="I4" s="37" t="s">
        <v>71</v>
      </c>
      <c r="J4" s="22">
        <v>200</v>
      </c>
      <c r="K4" s="22" t="s">
        <v>199</v>
      </c>
      <c r="L4" s="37"/>
      <c r="M4" s="23" t="s">
        <v>72</v>
      </c>
      <c r="N4" s="22" t="s">
        <v>73</v>
      </c>
      <c r="O4" s="23" t="s">
        <v>74</v>
      </c>
      <c r="P4" s="38" t="s">
        <v>56</v>
      </c>
      <c r="Q4" s="29">
        <v>970</v>
      </c>
      <c r="R4" s="72"/>
      <c r="S4" s="40">
        <v>970</v>
      </c>
      <c r="T4" s="29">
        <v>582</v>
      </c>
      <c r="U4" s="26"/>
      <c r="V4" s="25">
        <v>582</v>
      </c>
      <c r="W4" s="29">
        <v>435</v>
      </c>
      <c r="X4" s="25">
        <v>582</v>
      </c>
      <c r="Y4" s="29">
        <f>T4+R4+Q4+U4+W4</f>
        <v>1987</v>
      </c>
      <c r="Z4" s="27">
        <v>4850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41">
        <f>SUM(AM4:AS4)</f>
        <v>80</v>
      </c>
      <c r="AM4" s="41">
        <v>4</v>
      </c>
      <c r="AN4" s="42">
        <v>15</v>
      </c>
      <c r="AO4" s="42">
        <f>51+10</f>
        <v>61</v>
      </c>
      <c r="AP4" s="42"/>
      <c r="AQ4" s="42"/>
      <c r="AR4" s="42"/>
      <c r="AS4" s="42"/>
      <c r="AT4" s="43"/>
      <c r="AU4" s="43"/>
      <c r="AV4" s="41">
        <v>4</v>
      </c>
      <c r="AW4" s="26"/>
      <c r="AX4" s="43"/>
      <c r="AY4" s="29">
        <f>Y4-AV4-AX4-AW4</f>
        <v>1983</v>
      </c>
      <c r="AZ4" s="29">
        <f>'Layout for trees left'!U4+'Layout for trees right'!E20</f>
        <v>1983</v>
      </c>
      <c r="BA4" s="26">
        <f>AL4+AG4+AA4+AT4</f>
        <v>80</v>
      </c>
      <c r="BB4" s="30">
        <f>BD4+AO4+AG4</f>
        <v>1968</v>
      </c>
      <c r="BC4" s="30">
        <f>BD4+AS4</f>
        <v>1907</v>
      </c>
      <c r="BD4" s="30">
        <f>IF(BA4&gt;0,Y4-BA4,BA4)</f>
        <v>1907</v>
      </c>
      <c r="BE4" s="31">
        <v>29</v>
      </c>
      <c r="BF4" s="30" t="s">
        <v>76</v>
      </c>
      <c r="BG4" s="31">
        <f>BE4*Q4</f>
        <v>28130</v>
      </c>
      <c r="BH4" s="31">
        <f>BE4*R4*0.4</f>
        <v>0</v>
      </c>
      <c r="BI4" s="142">
        <f>BE4*T4</f>
        <v>16878</v>
      </c>
      <c r="BJ4" s="142">
        <f>BE4*U4*0.4</f>
        <v>0</v>
      </c>
      <c r="BK4" s="32">
        <f>Y4*BE4</f>
        <v>57623</v>
      </c>
      <c r="BL4" s="25">
        <v>582</v>
      </c>
      <c r="BM4" s="25">
        <v>582</v>
      </c>
      <c r="BN4" s="25">
        <v>582</v>
      </c>
      <c r="BO4" s="25">
        <v>970</v>
      </c>
      <c r="BP4" s="25">
        <f>BE4*AV4</f>
        <v>116</v>
      </c>
      <c r="BQ4" s="25">
        <f>BE4*AX4</f>
        <v>0</v>
      </c>
      <c r="BR4" s="43"/>
    </row>
    <row r="5" spans="1:70" s="6" customFormat="1" ht="41.25" customHeight="1">
      <c r="A5" s="18">
        <v>2</v>
      </c>
      <c r="B5" s="18" t="s">
        <v>66</v>
      </c>
      <c r="C5" s="44" t="s">
        <v>67</v>
      </c>
      <c r="D5" s="36" t="s">
        <v>68</v>
      </c>
      <c r="E5" s="22" t="s">
        <v>77</v>
      </c>
      <c r="F5" s="45" t="s">
        <v>70</v>
      </c>
      <c r="G5" s="36" t="s">
        <v>70</v>
      </c>
      <c r="H5" s="46"/>
      <c r="I5" s="37" t="s">
        <v>71</v>
      </c>
      <c r="J5" s="22">
        <v>200</v>
      </c>
      <c r="K5" s="22" t="s">
        <v>199</v>
      </c>
      <c r="L5" s="37"/>
      <c r="M5" s="23" t="s">
        <v>72</v>
      </c>
      <c r="N5" s="22" t="s">
        <v>78</v>
      </c>
      <c r="O5" s="23" t="s">
        <v>79</v>
      </c>
      <c r="P5" s="18" t="s">
        <v>56</v>
      </c>
      <c r="Q5" s="29">
        <v>1330</v>
      </c>
      <c r="R5" s="72"/>
      <c r="S5" s="25">
        <v>1330</v>
      </c>
      <c r="T5" s="29">
        <v>798</v>
      </c>
      <c r="U5" s="26"/>
      <c r="V5" s="25">
        <v>798</v>
      </c>
      <c r="W5" s="29">
        <v>436</v>
      </c>
      <c r="X5" s="25">
        <v>798</v>
      </c>
      <c r="Y5" s="29">
        <f>T5+R5+Q5+U5+W5</f>
        <v>2564</v>
      </c>
      <c r="Z5" s="27">
        <v>6650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41">
        <f>SUM(AM5:AS5)</f>
        <v>408</v>
      </c>
      <c r="AM5" s="41">
        <v>350</v>
      </c>
      <c r="AN5" s="42">
        <v>13</v>
      </c>
      <c r="AO5" s="42">
        <v>45</v>
      </c>
      <c r="AP5" s="42"/>
      <c r="AQ5" s="42"/>
      <c r="AR5" s="42"/>
      <c r="AS5" s="42"/>
      <c r="AT5" s="43"/>
      <c r="AU5" s="43"/>
      <c r="AV5" s="41">
        <f>33+25+139+153</f>
        <v>350</v>
      </c>
      <c r="AW5" s="26"/>
      <c r="AX5" s="43"/>
      <c r="AY5" s="29">
        <f>Y5-AV5-AX5-AW5</f>
        <v>2214</v>
      </c>
      <c r="AZ5" s="29">
        <f>'Layout for trees left'!U5+'Layout for trees right'!E21</f>
        <v>2214</v>
      </c>
      <c r="BA5" s="26">
        <f>AL5+AG5+AA5+AT5</f>
        <v>408</v>
      </c>
      <c r="BB5" s="30">
        <f>BD5+AO5+AG5</f>
        <v>2201</v>
      </c>
      <c r="BC5" s="30">
        <f>BD5+AS5</f>
        <v>2156</v>
      </c>
      <c r="BD5" s="30">
        <f>IF(BA5&gt;0,Y5-BA5,BA5)</f>
        <v>2156</v>
      </c>
      <c r="BE5" s="31">
        <v>63</v>
      </c>
      <c r="BF5" s="30" t="s">
        <v>76</v>
      </c>
      <c r="BG5" s="31">
        <f>BE5*Q5</f>
        <v>83790</v>
      </c>
      <c r="BH5" s="31">
        <f>BE5*R5*0.4</f>
        <v>0</v>
      </c>
      <c r="BI5" s="142">
        <f>BE5*T5</f>
        <v>50274</v>
      </c>
      <c r="BJ5" s="142">
        <f>BE5*U5*0.4</f>
        <v>0</v>
      </c>
      <c r="BK5" s="32">
        <f>Y5*BE5</f>
        <v>161532</v>
      </c>
      <c r="BL5" s="25">
        <v>798</v>
      </c>
      <c r="BM5" s="25">
        <v>798</v>
      </c>
      <c r="BN5" s="25">
        <v>798</v>
      </c>
      <c r="BO5" s="25">
        <v>1330</v>
      </c>
      <c r="BP5" s="25">
        <f>BE5*AV5</f>
        <v>22050</v>
      </c>
      <c r="BQ5" s="25">
        <f>BE5*AX5</f>
        <v>0</v>
      </c>
      <c r="BR5" s="43"/>
    </row>
    <row r="6" spans="1:70" s="6" customFormat="1" ht="41.25" customHeight="1">
      <c r="A6" s="18">
        <v>3</v>
      </c>
      <c r="B6" s="18" t="s">
        <v>48</v>
      </c>
      <c r="C6" s="18" t="s">
        <v>81</v>
      </c>
      <c r="D6" s="36" t="s">
        <v>68</v>
      </c>
      <c r="E6" s="22" t="s">
        <v>82</v>
      </c>
      <c r="F6" s="36" t="s">
        <v>70</v>
      </c>
      <c r="G6" s="36" t="s">
        <v>70</v>
      </c>
      <c r="H6" s="22"/>
      <c r="I6" s="37" t="s">
        <v>83</v>
      </c>
      <c r="J6" s="22"/>
      <c r="K6" s="22"/>
      <c r="L6" s="37"/>
      <c r="M6" s="23" t="s">
        <v>72</v>
      </c>
      <c r="N6" s="22" t="s">
        <v>84</v>
      </c>
      <c r="O6" s="23" t="s">
        <v>85</v>
      </c>
      <c r="P6" s="38" t="s">
        <v>56</v>
      </c>
      <c r="Q6" s="29">
        <v>204</v>
      </c>
      <c r="R6" s="72"/>
      <c r="S6" s="40">
        <v>204</v>
      </c>
      <c r="T6" s="26"/>
      <c r="U6" s="29">
        <v>122</v>
      </c>
      <c r="V6" s="25">
        <v>122</v>
      </c>
      <c r="W6" s="29">
        <v>198</v>
      </c>
      <c r="X6" s="25">
        <v>122</v>
      </c>
      <c r="Y6" s="29">
        <f>T6+R6+Q6+U6+W6</f>
        <v>524</v>
      </c>
      <c r="Z6" s="27">
        <v>1020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41">
        <f>SUM(AM6:AS6)</f>
        <v>28</v>
      </c>
      <c r="AM6" s="41"/>
      <c r="AN6" s="42">
        <v>0</v>
      </c>
      <c r="AO6" s="42">
        <f>16+12</f>
        <v>28</v>
      </c>
      <c r="AP6" s="42"/>
      <c r="AQ6" s="42"/>
      <c r="AR6" s="42"/>
      <c r="AS6" s="42"/>
      <c r="AT6" s="43"/>
      <c r="AU6" s="43"/>
      <c r="AV6" s="26"/>
      <c r="AW6" s="26"/>
      <c r="AX6" s="43"/>
      <c r="AY6" s="29">
        <f>Y6-AV6-AX6-AW6</f>
        <v>524</v>
      </c>
      <c r="AZ6" s="29">
        <f>'Layout for trees right'!E22+'Layout for trees left'!U18</f>
        <v>524</v>
      </c>
      <c r="BA6" s="26">
        <f>AL6+AG6+AA6+AT6</f>
        <v>28</v>
      </c>
      <c r="BB6" s="30">
        <f>BD6+AO6+AG6</f>
        <v>524</v>
      </c>
      <c r="BC6" s="30">
        <f>BD6+AS6</f>
        <v>496</v>
      </c>
      <c r="BD6" s="30">
        <f>IF(BA6&gt;0,Y6-BA6,BA6)</f>
        <v>496</v>
      </c>
      <c r="BE6" s="31">
        <v>154</v>
      </c>
      <c r="BF6" s="30" t="s">
        <v>76</v>
      </c>
      <c r="BG6" s="31">
        <f>BE6*Q6</f>
        <v>31416</v>
      </c>
      <c r="BH6" s="31">
        <f>BE6*R6*0.4</f>
        <v>0</v>
      </c>
      <c r="BI6" s="142">
        <f>BE6*T6</f>
        <v>0</v>
      </c>
      <c r="BJ6" s="142">
        <f>BE6*U6*0.4</f>
        <v>7515.2000000000007</v>
      </c>
      <c r="BK6" s="32">
        <f>Y6*BE6</f>
        <v>80696</v>
      </c>
      <c r="BL6" s="25">
        <v>122</v>
      </c>
      <c r="BM6" s="25">
        <v>122</v>
      </c>
      <c r="BN6" s="25">
        <v>122</v>
      </c>
      <c r="BO6" s="25">
        <v>206</v>
      </c>
      <c r="BP6" s="25">
        <f>BE6*AV6</f>
        <v>0</v>
      </c>
      <c r="BQ6" s="25">
        <f>BE6*AX6</f>
        <v>0</v>
      </c>
      <c r="BR6" s="43"/>
    </row>
    <row r="7" spans="1:70" s="6" customFormat="1" ht="41.25" customHeight="1">
      <c r="A7" s="18">
        <v>4</v>
      </c>
      <c r="B7" s="18" t="s">
        <v>48</v>
      </c>
      <c r="C7" s="18" t="s">
        <v>81</v>
      </c>
      <c r="D7" s="36" t="s">
        <v>68</v>
      </c>
      <c r="E7" s="22" t="s">
        <v>103</v>
      </c>
      <c r="F7" s="36" t="s">
        <v>70</v>
      </c>
      <c r="G7" s="36" t="s">
        <v>70</v>
      </c>
      <c r="H7" s="22"/>
      <c r="I7" s="37" t="s">
        <v>104</v>
      </c>
      <c r="J7" s="22">
        <v>320</v>
      </c>
      <c r="K7" s="22" t="s">
        <v>916</v>
      </c>
      <c r="L7" s="37"/>
      <c r="M7" s="23" t="s">
        <v>72</v>
      </c>
      <c r="N7" s="22" t="s">
        <v>105</v>
      </c>
      <c r="O7" s="23" t="s">
        <v>106</v>
      </c>
      <c r="P7" s="18" t="s">
        <v>56</v>
      </c>
      <c r="Q7" s="63">
        <v>340</v>
      </c>
      <c r="R7" s="145"/>
      <c r="S7" s="25">
        <v>340</v>
      </c>
      <c r="T7" s="29">
        <v>204</v>
      </c>
      <c r="U7" s="96"/>
      <c r="V7" s="25">
        <v>204</v>
      </c>
      <c r="W7" s="29">
        <v>606</v>
      </c>
      <c r="X7" s="25">
        <v>204</v>
      </c>
      <c r="Y7" s="29">
        <f>T7+R7+Q7+U7+W7</f>
        <v>1150</v>
      </c>
      <c r="Z7" s="27">
        <v>1700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41">
        <f>SUM(AM7:AS7)</f>
        <v>74</v>
      </c>
      <c r="AM7" s="41">
        <v>40</v>
      </c>
      <c r="AN7" s="42">
        <v>23</v>
      </c>
      <c r="AO7" s="42">
        <v>11</v>
      </c>
      <c r="AP7" s="42"/>
      <c r="AQ7" s="42"/>
      <c r="AR7" s="42"/>
      <c r="AS7" s="42"/>
      <c r="AT7" s="43"/>
      <c r="AU7" s="43"/>
      <c r="AV7" s="41">
        <f>8+24+8</f>
        <v>40</v>
      </c>
      <c r="AW7" s="26"/>
      <c r="AX7" s="43"/>
      <c r="AY7" s="29">
        <f>Y7-AV7-AX7-AW7</f>
        <v>1110</v>
      </c>
      <c r="AZ7" s="29">
        <f>'Layout for trees left'!U6</f>
        <v>1110</v>
      </c>
      <c r="BA7" s="26">
        <f>AL7+AG7+AA7+AT7</f>
        <v>74</v>
      </c>
      <c r="BB7" s="30">
        <f>BD7+AO7+AG7</f>
        <v>1087</v>
      </c>
      <c r="BC7" s="30">
        <f>BD7+AS7</f>
        <v>1076</v>
      </c>
      <c r="BD7" s="30">
        <f>IF(BA7&gt;0,Y7-BA7,BA7)</f>
        <v>1076</v>
      </c>
      <c r="BE7" s="31">
        <v>154</v>
      </c>
      <c r="BF7" s="30" t="s">
        <v>76</v>
      </c>
      <c r="BG7" s="31">
        <f>BE7*Q7</f>
        <v>52360</v>
      </c>
      <c r="BH7" s="31">
        <f>BE7*Q7*0.4</f>
        <v>20944</v>
      </c>
      <c r="BI7" s="142">
        <f>BE7*T7</f>
        <v>31416</v>
      </c>
      <c r="BJ7" s="142">
        <f>BE7*U7*0.4</f>
        <v>0</v>
      </c>
      <c r="BK7" s="32">
        <f>Y7*BE7</f>
        <v>177100</v>
      </c>
      <c r="BL7" s="25">
        <v>204</v>
      </c>
      <c r="BM7" s="25">
        <v>204</v>
      </c>
      <c r="BN7" s="25">
        <v>204</v>
      </c>
      <c r="BO7" s="25">
        <v>340</v>
      </c>
      <c r="BP7" s="25">
        <f>BE7*AV7</f>
        <v>6160</v>
      </c>
      <c r="BQ7" s="25">
        <f>BE7*AX7</f>
        <v>0</v>
      </c>
      <c r="BR7" s="43"/>
    </row>
    <row r="8" spans="1:70" s="6" customFormat="1" ht="41.25" customHeight="1">
      <c r="A8" s="18">
        <v>5</v>
      </c>
      <c r="B8" s="18" t="s">
        <v>48</v>
      </c>
      <c r="C8" s="18" t="s">
        <v>81</v>
      </c>
      <c r="D8" s="36" t="s">
        <v>68</v>
      </c>
      <c r="E8" s="22" t="s">
        <v>108</v>
      </c>
      <c r="F8" s="36" t="s">
        <v>70</v>
      </c>
      <c r="G8" s="36" t="s">
        <v>70</v>
      </c>
      <c r="H8" s="22"/>
      <c r="I8" s="37" t="s">
        <v>104</v>
      </c>
      <c r="J8" s="22">
        <v>300</v>
      </c>
      <c r="K8" s="22" t="s">
        <v>927</v>
      </c>
      <c r="L8" s="22"/>
      <c r="M8" s="23" t="s">
        <v>72</v>
      </c>
      <c r="N8" s="22" t="s">
        <v>109</v>
      </c>
      <c r="O8" s="23"/>
      <c r="P8" s="18" t="s">
        <v>56</v>
      </c>
      <c r="Q8" s="63">
        <v>50</v>
      </c>
      <c r="R8" s="63">
        <v>18</v>
      </c>
      <c r="S8" s="25">
        <v>68</v>
      </c>
      <c r="T8" s="26"/>
      <c r="U8" s="29">
        <v>41</v>
      </c>
      <c r="V8" s="25">
        <v>41</v>
      </c>
      <c r="W8" s="29">
        <v>152</v>
      </c>
      <c r="X8" s="25">
        <v>41</v>
      </c>
      <c r="Y8" s="29">
        <f>T8+R8+Q8+U8+W8</f>
        <v>261</v>
      </c>
      <c r="Z8" s="27">
        <v>340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41">
        <f>SUM(AM8:AS8)</f>
        <v>6</v>
      </c>
      <c r="AM8" s="41"/>
      <c r="AN8" s="42">
        <v>0</v>
      </c>
      <c r="AO8" s="42">
        <v>6</v>
      </c>
      <c r="AP8" s="42"/>
      <c r="AQ8" s="42"/>
      <c r="AR8" s="42"/>
      <c r="AS8" s="42"/>
      <c r="AT8" s="43"/>
      <c r="AU8" s="43"/>
      <c r="AV8" s="26"/>
      <c r="AW8" s="26"/>
      <c r="AX8" s="43"/>
      <c r="AY8" s="29">
        <f>Y8-AV8-AX8-AW8</f>
        <v>261</v>
      </c>
      <c r="AZ8" s="29">
        <f>'Layout for trees left'!U7+'Layout for trees right'!E24</f>
        <v>261</v>
      </c>
      <c r="BA8" s="26">
        <f>AL8+AG8+AA8+AT8</f>
        <v>6</v>
      </c>
      <c r="BB8" s="30">
        <f>BD8+AO8+AG8</f>
        <v>261</v>
      </c>
      <c r="BC8" s="30">
        <f>BD8+AS8</f>
        <v>255</v>
      </c>
      <c r="BD8" s="30">
        <f>IF(BA8&gt;0,Y8-BA8,BA8)</f>
        <v>255</v>
      </c>
      <c r="BE8" s="31">
        <v>154</v>
      </c>
      <c r="BF8" s="30" t="s">
        <v>76</v>
      </c>
      <c r="BG8" s="31">
        <f>BE8*Q8</f>
        <v>7700</v>
      </c>
      <c r="BH8" s="31">
        <f>BE8*R8*0.4</f>
        <v>1108.8</v>
      </c>
      <c r="BI8" s="142">
        <f>BE8*T8</f>
        <v>0</v>
      </c>
      <c r="BJ8" s="142">
        <f>BE8*U8*0.4</f>
        <v>2525.6000000000004</v>
      </c>
      <c r="BK8" s="32">
        <f>Y8*BE8</f>
        <v>40194</v>
      </c>
      <c r="BL8" s="25">
        <v>41</v>
      </c>
      <c r="BM8" s="25">
        <v>41</v>
      </c>
      <c r="BN8" s="25">
        <v>41</v>
      </c>
      <c r="BO8" s="25">
        <v>67</v>
      </c>
      <c r="BP8" s="25">
        <f>BE8*AV8</f>
        <v>0</v>
      </c>
      <c r="BQ8" s="25">
        <f>BE8*AX8</f>
        <v>0</v>
      </c>
      <c r="BR8" s="43"/>
    </row>
    <row r="9" spans="1:70" s="6" customFormat="1" ht="41.25" customHeight="1">
      <c r="A9" s="18">
        <v>6</v>
      </c>
      <c r="B9" s="18" t="s">
        <v>66</v>
      </c>
      <c r="C9" s="18" t="s">
        <v>67</v>
      </c>
      <c r="D9" s="36" t="s">
        <v>68</v>
      </c>
      <c r="E9" s="22" t="s">
        <v>114</v>
      </c>
      <c r="F9" s="36" t="s">
        <v>70</v>
      </c>
      <c r="G9" s="36" t="s">
        <v>70</v>
      </c>
      <c r="H9" s="22"/>
      <c r="I9" s="37" t="s">
        <v>71</v>
      </c>
      <c r="J9" s="22">
        <v>300</v>
      </c>
      <c r="K9" s="22" t="s">
        <v>916</v>
      </c>
      <c r="L9" s="37"/>
      <c r="M9" s="23" t="s">
        <v>72</v>
      </c>
      <c r="N9" s="22" t="s">
        <v>115</v>
      </c>
      <c r="O9" s="23" t="s">
        <v>113</v>
      </c>
      <c r="P9" s="38" t="s">
        <v>56</v>
      </c>
      <c r="Q9" s="29">
        <v>1136</v>
      </c>
      <c r="R9" s="72"/>
      <c r="S9" s="40">
        <v>1136</v>
      </c>
      <c r="T9" s="29">
        <f>575+107</f>
        <v>682</v>
      </c>
      <c r="U9" s="26"/>
      <c r="V9" s="25">
        <v>682</v>
      </c>
      <c r="W9" s="29">
        <v>502</v>
      </c>
      <c r="X9" s="25">
        <v>682</v>
      </c>
      <c r="Y9" s="29">
        <f>T9+R9+Q9+U9+W9</f>
        <v>2320</v>
      </c>
      <c r="Z9" s="27">
        <v>5680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41">
        <f>SUM(AM9:AS9)</f>
        <v>454</v>
      </c>
      <c r="AM9" s="41">
        <v>339</v>
      </c>
      <c r="AN9" s="42">
        <v>33</v>
      </c>
      <c r="AO9" s="42">
        <f>58+24</f>
        <v>82</v>
      </c>
      <c r="AP9" s="42"/>
      <c r="AQ9" s="42"/>
      <c r="AR9" s="42"/>
      <c r="AS9" s="42"/>
      <c r="AT9" s="43"/>
      <c r="AU9" s="43"/>
      <c r="AV9" s="41">
        <f>24+37+4+130+144</f>
        <v>339</v>
      </c>
      <c r="AW9" s="26"/>
      <c r="AX9" s="43"/>
      <c r="AY9" s="29">
        <f>Y9-AV9-AX9-AW9</f>
        <v>1981</v>
      </c>
      <c r="AZ9" s="29">
        <f>'Layout for trees left'!U8+'Layout for trees right'!E23</f>
        <v>1981</v>
      </c>
      <c r="BA9" s="26">
        <f>AL9+AG9+AA9+AT9</f>
        <v>454</v>
      </c>
      <c r="BB9" s="30">
        <f>BD9+AO9+AG9</f>
        <v>1948</v>
      </c>
      <c r="BC9" s="30">
        <f>BD9+AS9</f>
        <v>1866</v>
      </c>
      <c r="BD9" s="30">
        <f>IF(BA9&gt;0,Y9-BA9,BA9)</f>
        <v>1866</v>
      </c>
      <c r="BE9" s="31">
        <v>63</v>
      </c>
      <c r="BF9" s="30" t="s">
        <v>76</v>
      </c>
      <c r="BG9" s="31">
        <f>BE9*Q9</f>
        <v>71568</v>
      </c>
      <c r="BH9" s="31">
        <f>BE9*R9*0.4</f>
        <v>0</v>
      </c>
      <c r="BI9" s="142">
        <f>BE9*T9</f>
        <v>42966</v>
      </c>
      <c r="BJ9" s="142">
        <f>BE9*U9*0.4</f>
        <v>0</v>
      </c>
      <c r="BK9" s="32">
        <f>Y9*BE9</f>
        <v>146160</v>
      </c>
      <c r="BL9" s="25">
        <v>682</v>
      </c>
      <c r="BM9" s="25">
        <v>681</v>
      </c>
      <c r="BN9" s="25">
        <v>681</v>
      </c>
      <c r="BO9" s="25">
        <v>1136</v>
      </c>
      <c r="BP9" s="25">
        <f>BE9*AV9</f>
        <v>21357</v>
      </c>
      <c r="BQ9" s="25">
        <f>BE9*AX9</f>
        <v>0</v>
      </c>
      <c r="BR9" s="43"/>
    </row>
    <row r="10" spans="1:70" s="6" customFormat="1" ht="41.25" customHeight="1">
      <c r="A10" s="18">
        <v>7</v>
      </c>
      <c r="B10" s="18" t="s">
        <v>48</v>
      </c>
      <c r="C10" s="18" t="s">
        <v>81</v>
      </c>
      <c r="D10" s="36" t="s">
        <v>68</v>
      </c>
      <c r="E10" s="22" t="s">
        <v>117</v>
      </c>
      <c r="F10" s="36" t="s">
        <v>70</v>
      </c>
      <c r="G10" s="36" t="s">
        <v>70</v>
      </c>
      <c r="H10" s="22"/>
      <c r="I10" s="37" t="s">
        <v>118</v>
      </c>
      <c r="J10" s="22"/>
      <c r="K10" s="22"/>
      <c r="L10" s="22"/>
      <c r="M10" s="23" t="s">
        <v>72</v>
      </c>
      <c r="N10" s="22" t="s">
        <v>120</v>
      </c>
      <c r="O10" s="23"/>
      <c r="P10" s="18" t="s">
        <v>56</v>
      </c>
      <c r="Q10" s="72"/>
      <c r="R10" s="63">
        <v>3</v>
      </c>
      <c r="S10" s="25">
        <v>66</v>
      </c>
      <c r="T10" s="26"/>
      <c r="U10" s="26"/>
      <c r="V10" s="25">
        <v>40</v>
      </c>
      <c r="W10" s="26"/>
      <c r="X10" s="25">
        <v>40</v>
      </c>
      <c r="Y10" s="53">
        <f>T10+R10+Q10+U10+W10</f>
        <v>3</v>
      </c>
      <c r="Z10" s="27">
        <v>330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41">
        <f>SUM(AM10:AS10)</f>
        <v>9</v>
      </c>
      <c r="AM10" s="26"/>
      <c r="AN10" s="42">
        <v>0</v>
      </c>
      <c r="AO10" s="42">
        <v>9</v>
      </c>
      <c r="AP10" s="42"/>
      <c r="AQ10" s="42"/>
      <c r="AR10" s="42"/>
      <c r="AS10" s="42"/>
      <c r="AT10" s="43"/>
      <c r="AU10" s="43"/>
      <c r="AV10" s="26"/>
      <c r="AW10" s="26"/>
      <c r="AX10" s="43"/>
      <c r="AY10" s="29">
        <f>Y10-AV10-AX10-AW10</f>
        <v>3</v>
      </c>
      <c r="AZ10" s="29"/>
      <c r="BA10" s="26">
        <f>AL10+AG10+AA10+AT10</f>
        <v>9</v>
      </c>
      <c r="BB10" s="30">
        <f>BD10+AO10+AG10</f>
        <v>3</v>
      </c>
      <c r="BC10" s="30">
        <f>BD10+AS10</f>
        <v>-6</v>
      </c>
      <c r="BD10" s="30">
        <f>IF(BA10&gt;0,Y10-BA10,BA10)</f>
        <v>-6</v>
      </c>
      <c r="BE10" s="31">
        <v>154</v>
      </c>
      <c r="BF10" s="30" t="s">
        <v>76</v>
      </c>
      <c r="BG10" s="31">
        <f>BE10*Q10</f>
        <v>0</v>
      </c>
      <c r="BH10" s="31">
        <f>BE10*R10*0.4</f>
        <v>184.8</v>
      </c>
      <c r="BI10" s="142">
        <f>BE10*T10</f>
        <v>0</v>
      </c>
      <c r="BJ10" s="142">
        <f>BE10*U10*0.4</f>
        <v>0</v>
      </c>
      <c r="BK10" s="32">
        <f>Y10*BE10</f>
        <v>462</v>
      </c>
      <c r="BL10" s="25">
        <v>40</v>
      </c>
      <c r="BM10" s="25">
        <v>40</v>
      </c>
      <c r="BN10" s="25">
        <v>40</v>
      </c>
      <c r="BO10" s="25">
        <v>64</v>
      </c>
      <c r="BP10" s="25">
        <f>BE10*AV10</f>
        <v>0</v>
      </c>
      <c r="BQ10" s="25">
        <f>BE10*AX10</f>
        <v>0</v>
      </c>
      <c r="BR10" s="43"/>
    </row>
    <row r="11" spans="1:70" s="6" customFormat="1" ht="41.25" customHeight="1">
      <c r="A11" s="18">
        <v>8</v>
      </c>
      <c r="B11" s="50" t="s">
        <v>66</v>
      </c>
      <c r="C11" s="44" t="s">
        <v>139</v>
      </c>
      <c r="D11" s="56" t="s">
        <v>50</v>
      </c>
      <c r="E11" s="50" t="s">
        <v>140</v>
      </c>
      <c r="F11" s="52" t="s">
        <v>123</v>
      </c>
      <c r="G11" s="52" t="s">
        <v>123</v>
      </c>
      <c r="H11" s="50">
        <v>200</v>
      </c>
      <c r="I11" s="50">
        <v>300</v>
      </c>
      <c r="J11" s="22">
        <v>180</v>
      </c>
      <c r="K11" s="22" t="s">
        <v>143</v>
      </c>
      <c r="L11" s="50"/>
      <c r="M11" s="50"/>
      <c r="N11" s="22" t="s">
        <v>141</v>
      </c>
      <c r="O11" s="23" t="s">
        <v>142</v>
      </c>
      <c r="P11" s="18" t="s">
        <v>56</v>
      </c>
      <c r="Q11" s="29">
        <v>40000</v>
      </c>
      <c r="R11" s="29">
        <f>4075+875+6335+250-1330-1150</f>
        <v>9055</v>
      </c>
      <c r="S11" s="25">
        <v>67480</v>
      </c>
      <c r="T11" s="26"/>
      <c r="U11" s="26"/>
      <c r="V11" s="25">
        <v>67480</v>
      </c>
      <c r="W11" s="26"/>
      <c r="X11" s="25">
        <v>40488</v>
      </c>
      <c r="Y11" s="29">
        <f>T11+R11+Q11+U11+W11</f>
        <v>49055</v>
      </c>
      <c r="Z11" s="27">
        <v>337400</v>
      </c>
      <c r="AA11" s="26"/>
      <c r="AB11" s="26"/>
      <c r="AC11" s="26"/>
      <c r="AD11" s="26"/>
      <c r="AE11" s="26"/>
      <c r="AF11" s="26"/>
      <c r="AG11" s="57">
        <f>SUBTOTAL(9,AH11:AK11)</f>
        <v>742</v>
      </c>
      <c r="AH11" s="26"/>
      <c r="AI11" s="26"/>
      <c r="AJ11" s="57">
        <v>204</v>
      </c>
      <c r="AK11" s="57">
        <v>538</v>
      </c>
      <c r="AL11" s="41">
        <f>SUM(AM11:AS11)</f>
        <v>28788</v>
      </c>
      <c r="AM11" s="41">
        <v>17375</v>
      </c>
      <c r="AN11" s="49">
        <v>6074</v>
      </c>
      <c r="AO11" s="49">
        <f>5141+198</f>
        <v>5339</v>
      </c>
      <c r="AP11" s="49"/>
      <c r="AQ11" s="49"/>
      <c r="AR11" s="49"/>
      <c r="AS11" s="49"/>
      <c r="AT11" s="28"/>
      <c r="AU11" s="28"/>
      <c r="AV11" s="41">
        <f>3917+635+351+1800+760+690+1000+750+100+1050+700+700+200+750+622+400+750+750+750+700</f>
        <v>17375</v>
      </c>
      <c r="AW11" s="26"/>
      <c r="AX11" s="70">
        <v>2000</v>
      </c>
      <c r="AY11" s="29">
        <f>Y11-AV11-AX11-AW11</f>
        <v>29680</v>
      </c>
      <c r="AZ11" s="29">
        <f ca="1">'Layout for shadhous 1&amp;2'!C53+'Layout for shadhous 3'!E47</f>
        <v>29680</v>
      </c>
      <c r="BA11" s="26">
        <f>AL11+AG11+AA11+AT11</f>
        <v>29530</v>
      </c>
      <c r="BB11" s="30">
        <f>BD11+AO11+AG11</f>
        <v>25606</v>
      </c>
      <c r="BC11" s="30">
        <f>BD11+AS11</f>
        <v>19525</v>
      </c>
      <c r="BD11" s="30">
        <f>IF(BA11&gt;0,Y11-BA11,BA11)</f>
        <v>19525</v>
      </c>
      <c r="BE11" s="31">
        <v>11</v>
      </c>
      <c r="BF11" s="30" t="s">
        <v>76</v>
      </c>
      <c r="BG11" s="31">
        <f>BE11*Q11</f>
        <v>440000</v>
      </c>
      <c r="BH11" s="31">
        <f>BE11*R11*0.4</f>
        <v>39842</v>
      </c>
      <c r="BI11" s="142"/>
      <c r="BJ11" s="142"/>
      <c r="BK11" s="32">
        <f>Y11*BE11</f>
        <v>539605</v>
      </c>
      <c r="BL11" s="25">
        <v>40488</v>
      </c>
      <c r="BM11" s="25">
        <v>40488</v>
      </c>
      <c r="BN11" s="25">
        <v>40488</v>
      </c>
      <c r="BO11" s="25">
        <v>40488</v>
      </c>
      <c r="BP11" s="25">
        <f>BE11*AV11</f>
        <v>191125</v>
      </c>
      <c r="BQ11" s="25">
        <f>BE11*AX11</f>
        <v>22000</v>
      </c>
      <c r="BR11" s="43">
        <f>244+52</f>
        <v>296</v>
      </c>
    </row>
    <row r="12" spans="1:70" s="6" customFormat="1" ht="41.25" customHeight="1">
      <c r="A12" s="18">
        <v>9</v>
      </c>
      <c r="B12" s="50" t="s">
        <v>66</v>
      </c>
      <c r="C12" s="44" t="s">
        <v>139</v>
      </c>
      <c r="D12" s="56" t="s">
        <v>50</v>
      </c>
      <c r="E12" s="50" t="s">
        <v>140</v>
      </c>
      <c r="F12" s="60" t="s">
        <v>155</v>
      </c>
      <c r="G12" s="21" t="s">
        <v>52</v>
      </c>
      <c r="H12" s="50">
        <v>50</v>
      </c>
      <c r="I12" s="50"/>
      <c r="J12" s="22">
        <v>200</v>
      </c>
      <c r="K12" s="22" t="s">
        <v>333</v>
      </c>
      <c r="L12" s="22" t="s">
        <v>52</v>
      </c>
      <c r="M12" s="22"/>
      <c r="N12" s="22" t="s">
        <v>156</v>
      </c>
      <c r="O12" s="23" t="s">
        <v>157</v>
      </c>
      <c r="P12" s="18" t="s">
        <v>56</v>
      </c>
      <c r="Q12" s="73">
        <v>30</v>
      </c>
      <c r="R12" s="26"/>
      <c r="S12" s="25">
        <v>1820</v>
      </c>
      <c r="T12" s="26"/>
      <c r="U12" s="26"/>
      <c r="V12" s="25">
        <v>1820</v>
      </c>
      <c r="W12" s="26"/>
      <c r="X12" s="25">
        <v>1092</v>
      </c>
      <c r="Y12" s="29">
        <f>T12+R12+Q12+U12+W12</f>
        <v>30</v>
      </c>
      <c r="Z12" s="27">
        <v>9100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>
        <f>SUM(AM12:AS12)</f>
        <v>0</v>
      </c>
      <c r="AM12" s="26"/>
      <c r="AN12" s="26"/>
      <c r="AO12" s="26"/>
      <c r="AP12" s="26"/>
      <c r="AQ12" s="26"/>
      <c r="AR12" s="26"/>
      <c r="AS12" s="26"/>
      <c r="AT12" s="28"/>
      <c r="AU12" s="28"/>
      <c r="AV12" s="26"/>
      <c r="AW12" s="26"/>
      <c r="AX12" s="28"/>
      <c r="AY12" s="29">
        <f>Y12-AV12-AX12-AW12</f>
        <v>30</v>
      </c>
      <c r="AZ12" s="29"/>
      <c r="BA12" s="26">
        <f>AL12+AG12+AA12+AT12</f>
        <v>0</v>
      </c>
      <c r="BB12" s="30">
        <f>BD12+AO12+AG12</f>
        <v>0</v>
      </c>
      <c r="BC12" s="30">
        <f>BD12+AS12</f>
        <v>0</v>
      </c>
      <c r="BD12" s="30">
        <f>IF(BA12&gt;0,Y12-BA12,BA12)</f>
        <v>0</v>
      </c>
      <c r="BE12" s="31">
        <v>22</v>
      </c>
      <c r="BF12" s="30" t="s">
        <v>76</v>
      </c>
      <c r="BG12" s="31">
        <f>BE12*Q12</f>
        <v>660</v>
      </c>
      <c r="BH12" s="31">
        <f>BE12*R12*0.4</f>
        <v>0</v>
      </c>
      <c r="BI12" s="31">
        <f>BE12*T12</f>
        <v>0</v>
      </c>
      <c r="BJ12" s="31">
        <f>BE12*U12*0.4</f>
        <v>0</v>
      </c>
      <c r="BK12" s="32">
        <f>Y12*BE12</f>
        <v>660</v>
      </c>
      <c r="BL12" s="25">
        <v>1092</v>
      </c>
      <c r="BM12" s="25">
        <v>1092</v>
      </c>
      <c r="BN12" s="25">
        <v>1092</v>
      </c>
      <c r="BO12" s="25">
        <v>1092</v>
      </c>
      <c r="BP12" s="25">
        <f>BE12*AV12</f>
        <v>0</v>
      </c>
      <c r="BQ12" s="25">
        <f>BE12*AX12</f>
        <v>0</v>
      </c>
      <c r="BR12" s="28"/>
    </row>
    <row r="13" spans="1:70" s="6" customFormat="1" ht="41.25" customHeight="1">
      <c r="A13" s="18">
        <v>10</v>
      </c>
      <c r="B13" s="18" t="s">
        <v>191</v>
      </c>
      <c r="C13" s="18" t="s">
        <v>192</v>
      </c>
      <c r="D13" s="21" t="s">
        <v>50</v>
      </c>
      <c r="E13" s="22" t="s">
        <v>193</v>
      </c>
      <c r="F13" s="58" t="s">
        <v>146</v>
      </c>
      <c r="G13" s="58" t="s">
        <v>147</v>
      </c>
      <c r="H13" s="22">
        <v>120</v>
      </c>
      <c r="I13" s="22">
        <v>200</v>
      </c>
      <c r="J13" s="22"/>
      <c r="K13" s="22"/>
      <c r="L13" s="22"/>
      <c r="M13" s="22"/>
      <c r="N13" s="22" t="s">
        <v>194</v>
      </c>
      <c r="O13" s="23" t="s">
        <v>195</v>
      </c>
      <c r="P13" s="38" t="s">
        <v>56</v>
      </c>
      <c r="Q13" s="29">
        <v>260</v>
      </c>
      <c r="R13" s="72"/>
      <c r="S13" s="40">
        <v>260</v>
      </c>
      <c r="T13" s="29">
        <v>94</v>
      </c>
      <c r="U13" s="26"/>
      <c r="V13" s="25">
        <v>260</v>
      </c>
      <c r="W13" s="26"/>
      <c r="X13" s="25">
        <v>156</v>
      </c>
      <c r="Y13" s="29">
        <f>T13+R13+Q13+U13+W13</f>
        <v>354</v>
      </c>
      <c r="Z13" s="27">
        <v>1300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>
        <f>SUM(AM13:AS13)</f>
        <v>0</v>
      </c>
      <c r="AM13" s="26"/>
      <c r="AN13" s="26"/>
      <c r="AO13" s="26"/>
      <c r="AP13" s="26"/>
      <c r="AQ13" s="26"/>
      <c r="AR13" s="26"/>
      <c r="AS13" s="26"/>
      <c r="AT13" s="43"/>
      <c r="AU13" s="43"/>
      <c r="AV13" s="26"/>
      <c r="AW13" s="26"/>
      <c r="AX13" s="43"/>
      <c r="AY13" s="29">
        <f>Y13-AV13-AX13-AW13</f>
        <v>354</v>
      </c>
      <c r="AZ13" s="29">
        <f>'Layout for shadhous 3'!E53</f>
        <v>354</v>
      </c>
      <c r="BA13" s="26">
        <f>AL13+AG13+AA13+AT13</f>
        <v>0</v>
      </c>
      <c r="BB13" s="30">
        <f>BD13+AO13+AG13</f>
        <v>0</v>
      </c>
      <c r="BC13" s="30">
        <f>BD13+AS13</f>
        <v>0</v>
      </c>
      <c r="BD13" s="30">
        <f>IF(BA13&gt;0,Y13-BA13,BA13)</f>
        <v>0</v>
      </c>
      <c r="BE13" s="31">
        <v>7</v>
      </c>
      <c r="BF13" s="30" t="s">
        <v>76</v>
      </c>
      <c r="BG13" s="31">
        <f>BE13*Q13</f>
        <v>1820</v>
      </c>
      <c r="BH13" s="31">
        <f>BE13*R13*0.4</f>
        <v>0</v>
      </c>
      <c r="BI13" s="31">
        <f>BE13*T13</f>
        <v>658</v>
      </c>
      <c r="BJ13" s="31">
        <f>BE13*U13*0.4</f>
        <v>0</v>
      </c>
      <c r="BK13" s="32">
        <f>Y13*BE13</f>
        <v>2478</v>
      </c>
      <c r="BL13" s="25">
        <v>156</v>
      </c>
      <c r="BM13" s="25">
        <v>156</v>
      </c>
      <c r="BN13" s="25">
        <v>156</v>
      </c>
      <c r="BO13" s="25">
        <v>156</v>
      </c>
      <c r="BP13" s="25">
        <f>BE13*AV13</f>
        <v>0</v>
      </c>
      <c r="BQ13" s="25">
        <f>BE13*AX13</f>
        <v>0</v>
      </c>
      <c r="BR13" s="43"/>
    </row>
    <row r="14" spans="1:70" s="6" customFormat="1" ht="41.25" customHeight="1">
      <c r="A14" s="18">
        <v>11</v>
      </c>
      <c r="B14" s="18" t="s">
        <v>48</v>
      </c>
      <c r="C14" s="18" t="s">
        <v>49</v>
      </c>
      <c r="D14" s="19" t="s">
        <v>50</v>
      </c>
      <c r="E14" s="22" t="s">
        <v>51</v>
      </c>
      <c r="F14" s="52" t="s">
        <v>123</v>
      </c>
      <c r="G14" s="52" t="s">
        <v>123</v>
      </c>
      <c r="H14" s="22">
        <v>120</v>
      </c>
      <c r="I14" s="22">
        <v>200</v>
      </c>
      <c r="J14" s="22"/>
      <c r="K14" s="22"/>
      <c r="L14" s="22"/>
      <c r="M14" s="22"/>
      <c r="N14" s="22" t="s">
        <v>212</v>
      </c>
      <c r="O14" s="23"/>
      <c r="P14" s="18" t="s">
        <v>56</v>
      </c>
      <c r="Q14" s="143">
        <v>2114</v>
      </c>
      <c r="R14" s="143">
        <v>350</v>
      </c>
      <c r="S14" s="25">
        <v>6840</v>
      </c>
      <c r="T14" s="26"/>
      <c r="U14" s="26"/>
      <c r="V14" s="25">
        <v>6840</v>
      </c>
      <c r="W14" s="26"/>
      <c r="X14" s="25">
        <v>4104</v>
      </c>
      <c r="Y14" s="29">
        <f>T14+R14+Q14+U14+W14</f>
        <v>2464</v>
      </c>
      <c r="Z14" s="27">
        <v>34200</v>
      </c>
      <c r="AA14" s="64">
        <f>SUBTOTAL(9,AB14:AF14)</f>
        <v>16</v>
      </c>
      <c r="AB14" s="64"/>
      <c r="AC14" s="26"/>
      <c r="AD14" s="26"/>
      <c r="AE14" s="26"/>
      <c r="AF14" s="64">
        <v>16</v>
      </c>
      <c r="AG14" s="26"/>
      <c r="AH14" s="26"/>
      <c r="AI14" s="26"/>
      <c r="AJ14" s="26"/>
      <c r="AK14" s="26"/>
      <c r="AL14" s="41">
        <f>SUM(AM14:AS14)</f>
        <v>8567</v>
      </c>
      <c r="AM14" s="41">
        <v>2114</v>
      </c>
      <c r="AN14" s="49">
        <v>977</v>
      </c>
      <c r="AO14" s="49">
        <f>5328+148</f>
        <v>5476</v>
      </c>
      <c r="AP14" s="49"/>
      <c r="AQ14" s="49"/>
      <c r="AR14" s="49"/>
      <c r="AS14" s="49"/>
      <c r="AT14" s="43"/>
      <c r="AU14" s="43"/>
      <c r="AV14" s="41">
        <f>830+915+369</f>
        <v>2114</v>
      </c>
      <c r="AW14" s="64"/>
      <c r="AX14" s="43"/>
      <c r="AY14" s="29">
        <f>Y14-AV14-AX14-AW14</f>
        <v>350</v>
      </c>
      <c r="AZ14" s="29">
        <f ca="1">'Layout for shadhous 1&amp;2'!C57</f>
        <v>350</v>
      </c>
      <c r="BA14" s="26">
        <f>AL14+AG14+AA14+AT14</f>
        <v>8583</v>
      </c>
      <c r="BB14" s="30">
        <f>BD14+AO14+AG14</f>
        <v>-643</v>
      </c>
      <c r="BC14" s="30">
        <f>BD14+AS14</f>
        <v>-6119</v>
      </c>
      <c r="BD14" s="30">
        <f>IF(BA14&gt;0,Y14-BA14,BA14)</f>
        <v>-6119</v>
      </c>
      <c r="BE14" s="31">
        <v>8</v>
      </c>
      <c r="BF14" s="30" t="s">
        <v>76</v>
      </c>
      <c r="BG14" s="31">
        <f>BE14*Q14</f>
        <v>16912</v>
      </c>
      <c r="BH14" s="31">
        <f>BE14*R14*0.4</f>
        <v>1120</v>
      </c>
      <c r="BI14" s="142">
        <f>BE14*T14</f>
        <v>0</v>
      </c>
      <c r="BJ14" s="142">
        <f>BE14*U14*0.4</f>
        <v>0</v>
      </c>
      <c r="BK14" s="32">
        <f>Y14*BE14</f>
        <v>19712</v>
      </c>
      <c r="BL14" s="25">
        <v>4104</v>
      </c>
      <c r="BM14" s="25">
        <v>4104</v>
      </c>
      <c r="BN14" s="25">
        <v>4104</v>
      </c>
      <c r="BO14" s="25">
        <v>4104</v>
      </c>
      <c r="BP14" s="25">
        <f>BE14*AV14</f>
        <v>16912</v>
      </c>
      <c r="BQ14" s="25">
        <f>BE14*AX14</f>
        <v>0</v>
      </c>
      <c r="BR14" s="43"/>
    </row>
    <row r="15" spans="1:70" s="6" customFormat="1" ht="41.25" customHeight="1">
      <c r="A15" s="18">
        <v>12</v>
      </c>
      <c r="B15" s="50" t="s">
        <v>66</v>
      </c>
      <c r="C15" s="44" t="s">
        <v>139</v>
      </c>
      <c r="D15" s="56" t="s">
        <v>50</v>
      </c>
      <c r="E15" s="50" t="s">
        <v>161</v>
      </c>
      <c r="F15" s="21" t="s">
        <v>52</v>
      </c>
      <c r="G15" s="21" t="s">
        <v>52</v>
      </c>
      <c r="H15" s="50">
        <v>200</v>
      </c>
      <c r="I15" s="50">
        <v>300</v>
      </c>
      <c r="J15" s="22"/>
      <c r="K15" s="22"/>
      <c r="L15" s="22" t="s">
        <v>52</v>
      </c>
      <c r="M15" s="22"/>
      <c r="N15" s="22" t="s">
        <v>219</v>
      </c>
      <c r="O15" s="23" t="s">
        <v>220</v>
      </c>
      <c r="P15" s="18" t="s">
        <v>56</v>
      </c>
      <c r="Q15" s="72"/>
      <c r="R15" s="72"/>
      <c r="S15" s="25">
        <v>920</v>
      </c>
      <c r="T15" s="26"/>
      <c r="U15" s="26"/>
      <c r="V15" s="25">
        <v>920</v>
      </c>
      <c r="W15" s="26"/>
      <c r="X15" s="25">
        <v>552</v>
      </c>
      <c r="Y15" s="26">
        <f>T15+R15+Q15+U15+W15</f>
        <v>0</v>
      </c>
      <c r="Z15" s="27">
        <v>4600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>
        <f>SUM(AM15:AS15)</f>
        <v>0</v>
      </c>
      <c r="AM15" s="26"/>
      <c r="AN15" s="26"/>
      <c r="AO15" s="26"/>
      <c r="AP15" s="26"/>
      <c r="AQ15" s="26"/>
      <c r="AR15" s="26"/>
      <c r="AS15" s="26"/>
      <c r="AT15" s="28"/>
      <c r="AU15" s="28"/>
      <c r="AV15" s="26"/>
      <c r="AW15" s="26"/>
      <c r="AX15" s="28"/>
      <c r="AY15" s="72">
        <f>Y15-AV15-AX15-AW15</f>
        <v>0</v>
      </c>
      <c r="AZ15" s="68"/>
      <c r="BA15" s="26">
        <f>AL15+AG15+AA15+AT15</f>
        <v>0</v>
      </c>
      <c r="BB15" s="30">
        <f>BD15+AO15+AG15</f>
        <v>0</v>
      </c>
      <c r="BC15" s="30">
        <f>BD15+AS15</f>
        <v>0</v>
      </c>
      <c r="BD15" s="30">
        <f>IF(BA15&gt;0,Y15-BA15,BA15)</f>
        <v>0</v>
      </c>
      <c r="BE15" s="31">
        <v>30</v>
      </c>
      <c r="BF15" s="30" t="s">
        <v>76</v>
      </c>
      <c r="BG15" s="31">
        <f>BE15*Q15</f>
        <v>0</v>
      </c>
      <c r="BH15" s="31">
        <f>BE15*R15*0.4</f>
        <v>0</v>
      </c>
      <c r="BI15" s="31">
        <f>BE15*T15</f>
        <v>0</v>
      </c>
      <c r="BJ15" s="31">
        <f>BE15*U15*0.4</f>
        <v>0</v>
      </c>
      <c r="BK15" s="32">
        <f>Y15*BE15</f>
        <v>0</v>
      </c>
      <c r="BL15" s="25">
        <v>552</v>
      </c>
      <c r="BM15" s="25">
        <v>552</v>
      </c>
      <c r="BN15" s="25">
        <v>552</v>
      </c>
      <c r="BO15" s="25">
        <v>552</v>
      </c>
      <c r="BP15" s="25">
        <f>BE15*AV15</f>
        <v>0</v>
      </c>
      <c r="BQ15" s="25">
        <f>BE15*AX15</f>
        <v>0</v>
      </c>
      <c r="BR15" s="28"/>
    </row>
    <row r="16" spans="1:70" s="6" customFormat="1" ht="41.25" customHeight="1">
      <c r="A16" s="18">
        <v>13</v>
      </c>
      <c r="B16" s="18" t="s">
        <v>191</v>
      </c>
      <c r="C16" s="65" t="s">
        <v>221</v>
      </c>
      <c r="D16" s="21" t="s">
        <v>50</v>
      </c>
      <c r="E16" s="22" t="s">
        <v>222</v>
      </c>
      <c r="F16" s="52" t="s">
        <v>123</v>
      </c>
      <c r="G16" s="21" t="s">
        <v>52</v>
      </c>
      <c r="H16" s="22"/>
      <c r="I16" s="22"/>
      <c r="J16" s="22"/>
      <c r="K16" s="22"/>
      <c r="L16" s="22" t="s">
        <v>52</v>
      </c>
      <c r="M16" s="22"/>
      <c r="N16" s="22" t="s">
        <v>223</v>
      </c>
      <c r="O16" s="23" t="s">
        <v>224</v>
      </c>
      <c r="P16" s="18" t="s">
        <v>56</v>
      </c>
      <c r="Q16" s="72"/>
      <c r="R16" s="72"/>
      <c r="S16" s="25">
        <v>9060</v>
      </c>
      <c r="T16" s="26"/>
      <c r="U16" s="26"/>
      <c r="V16" s="25">
        <v>9060</v>
      </c>
      <c r="W16" s="26"/>
      <c r="X16" s="25">
        <v>5436</v>
      </c>
      <c r="Y16" s="26">
        <f>T16+R16+Q16+U16+W16</f>
        <v>0</v>
      </c>
      <c r="Z16" s="27">
        <v>45300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f>SUM(AM16:AS16)</f>
        <v>0</v>
      </c>
      <c r="AM16" s="26"/>
      <c r="AN16" s="26"/>
      <c r="AO16" s="26"/>
      <c r="AP16" s="26"/>
      <c r="AQ16" s="26"/>
      <c r="AR16" s="26"/>
      <c r="AS16" s="26"/>
      <c r="AT16" s="28"/>
      <c r="AU16" s="28"/>
      <c r="AV16" s="26"/>
      <c r="AW16" s="26"/>
      <c r="AX16" s="28"/>
      <c r="AY16" s="72">
        <f>Y16-AV16-AX16-AW16</f>
        <v>0</v>
      </c>
      <c r="AZ16" s="68"/>
      <c r="BA16" s="26">
        <f>AL16+AG16+AA16+AT16</f>
        <v>0</v>
      </c>
      <c r="BB16" s="30">
        <f>BD16+AO16+AG16</f>
        <v>0</v>
      </c>
      <c r="BC16" s="30">
        <f>BD16+AS16</f>
        <v>0</v>
      </c>
      <c r="BD16" s="30">
        <f>IF(BA16&gt;0,Y16-BA16,BA16)</f>
        <v>0</v>
      </c>
      <c r="BE16" s="31">
        <v>4</v>
      </c>
      <c r="BF16" s="30" t="s">
        <v>76</v>
      </c>
      <c r="BG16" s="31">
        <f>BE16*Q16</f>
        <v>0</v>
      </c>
      <c r="BH16" s="31">
        <f>BE16*R16*0.4</f>
        <v>0</v>
      </c>
      <c r="BI16" s="31">
        <f>BE16*T16</f>
        <v>0</v>
      </c>
      <c r="BJ16" s="31">
        <f>BE16*U16*0.4</f>
        <v>0</v>
      </c>
      <c r="BK16" s="32">
        <f>Y16*BE16</f>
        <v>0</v>
      </c>
      <c r="BL16" s="25">
        <v>5436</v>
      </c>
      <c r="BM16" s="25">
        <v>5436</v>
      </c>
      <c r="BN16" s="25">
        <v>5436</v>
      </c>
      <c r="BO16" s="25">
        <v>5436</v>
      </c>
      <c r="BP16" s="25">
        <f>BE16*AV16</f>
        <v>0</v>
      </c>
      <c r="BQ16" s="25">
        <f>BE16*AX16</f>
        <v>0</v>
      </c>
      <c r="BR16" s="28"/>
    </row>
    <row r="17" spans="1:70" s="6" customFormat="1" ht="41.25" customHeight="1">
      <c r="A17" s="18">
        <v>14</v>
      </c>
      <c r="B17" s="50" t="s">
        <v>66</v>
      </c>
      <c r="C17" s="65" t="s">
        <v>225</v>
      </c>
      <c r="D17" s="56" t="s">
        <v>50</v>
      </c>
      <c r="E17" s="50" t="s">
        <v>226</v>
      </c>
      <c r="F17" s="60" t="s">
        <v>155</v>
      </c>
      <c r="G17" s="21" t="s">
        <v>52</v>
      </c>
      <c r="H17" s="50"/>
      <c r="I17" s="50"/>
      <c r="J17" s="22">
        <v>300</v>
      </c>
      <c r="K17" s="22" t="s">
        <v>916</v>
      </c>
      <c r="L17" s="22" t="s">
        <v>52</v>
      </c>
      <c r="M17" s="22"/>
      <c r="N17" s="22" t="s">
        <v>227</v>
      </c>
      <c r="O17" s="23" t="s">
        <v>228</v>
      </c>
      <c r="P17" s="18" t="s">
        <v>56</v>
      </c>
      <c r="Q17" s="72"/>
      <c r="R17" s="72"/>
      <c r="S17" s="25"/>
      <c r="T17" s="26"/>
      <c r="U17" s="25"/>
      <c r="V17" s="25"/>
      <c r="W17" s="26"/>
      <c r="X17" s="25">
        <v>276</v>
      </c>
      <c r="Y17" s="26">
        <f>T17+R17+Q17+U17+W17</f>
        <v>0</v>
      </c>
      <c r="Z17" s="27">
        <v>2300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41">
        <f>SUM(AM17:AS17)</f>
        <v>555</v>
      </c>
      <c r="AM17" s="26"/>
      <c r="AN17" s="49">
        <v>0</v>
      </c>
      <c r="AO17" s="49">
        <v>555</v>
      </c>
      <c r="AP17" s="49"/>
      <c r="AQ17" s="49"/>
      <c r="AR17" s="49"/>
      <c r="AS17" s="49"/>
      <c r="AT17" s="43"/>
      <c r="AU17" s="43"/>
      <c r="AV17" s="26"/>
      <c r="AW17" s="26"/>
      <c r="AX17" s="43"/>
      <c r="AY17" s="72">
        <f>Y17-AV17-AX17-AW17</f>
        <v>0</v>
      </c>
      <c r="AZ17" s="68"/>
      <c r="BA17" s="26">
        <f>AL17+AG17+AA17+AT17</f>
        <v>555</v>
      </c>
      <c r="BB17" s="30">
        <f>BD17+AO17+AG17</f>
        <v>0</v>
      </c>
      <c r="BC17" s="30">
        <f>BD17+AS17</f>
        <v>-555</v>
      </c>
      <c r="BD17" s="30">
        <f>IF(BA17&gt;0,Y17-BA17,BA17)</f>
        <v>-555</v>
      </c>
      <c r="BE17" s="31">
        <v>37</v>
      </c>
      <c r="BF17" s="30" t="s">
        <v>76</v>
      </c>
      <c r="BG17" s="31">
        <f>BE17*Q17</f>
        <v>0</v>
      </c>
      <c r="BH17" s="31">
        <f>BE17*R17*0.4</f>
        <v>0</v>
      </c>
      <c r="BI17" s="142">
        <f>BE17*T17</f>
        <v>0</v>
      </c>
      <c r="BJ17" s="142">
        <f>BE17*U17*0.4</f>
        <v>0</v>
      </c>
      <c r="BK17" s="32">
        <f>Y17*BE17</f>
        <v>0</v>
      </c>
      <c r="BL17" s="25">
        <v>276</v>
      </c>
      <c r="BM17" s="25">
        <v>276</v>
      </c>
      <c r="BN17" s="25">
        <v>276</v>
      </c>
      <c r="BO17" s="25">
        <v>276</v>
      </c>
      <c r="BP17" s="25">
        <f>BE17*AV17</f>
        <v>0</v>
      </c>
      <c r="BQ17" s="25">
        <f>BE17*AX17</f>
        <v>0</v>
      </c>
      <c r="BR17" s="43"/>
    </row>
    <row r="18" spans="1:70" s="6" customFormat="1" ht="41.25" customHeight="1">
      <c r="A18" s="18">
        <v>15</v>
      </c>
      <c r="B18" s="18" t="s">
        <v>191</v>
      </c>
      <c r="C18" s="18" t="s">
        <v>192</v>
      </c>
      <c r="D18" s="21" t="s">
        <v>50</v>
      </c>
      <c r="E18" s="22" t="s">
        <v>193</v>
      </c>
      <c r="F18" s="21" t="s">
        <v>52</v>
      </c>
      <c r="G18" s="21" t="s">
        <v>52</v>
      </c>
      <c r="H18" s="22">
        <v>120</v>
      </c>
      <c r="I18" s="22">
        <v>200</v>
      </c>
      <c r="J18" s="22">
        <v>320</v>
      </c>
      <c r="K18" s="22" t="s">
        <v>107</v>
      </c>
      <c r="L18" s="22" t="s">
        <v>52</v>
      </c>
      <c r="M18" s="22"/>
      <c r="N18" s="22" t="s">
        <v>230</v>
      </c>
      <c r="O18" s="23" t="s">
        <v>231</v>
      </c>
      <c r="P18" s="18" t="s">
        <v>56</v>
      </c>
      <c r="Q18" s="72"/>
      <c r="R18" s="72"/>
      <c r="S18" s="25">
        <v>140</v>
      </c>
      <c r="T18" s="26"/>
      <c r="U18" s="26"/>
      <c r="V18" s="25">
        <v>140</v>
      </c>
      <c r="W18" s="26"/>
      <c r="X18" s="25">
        <v>84</v>
      </c>
      <c r="Y18" s="26">
        <f>T18+R18+Q18+U18+W18</f>
        <v>0</v>
      </c>
      <c r="Z18" s="27">
        <v>700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>
        <f>SUM(AM18:AS18)</f>
        <v>0</v>
      </c>
      <c r="AM18" s="26"/>
      <c r="AN18" s="26"/>
      <c r="AO18" s="26"/>
      <c r="AP18" s="26"/>
      <c r="AQ18" s="26"/>
      <c r="AR18" s="26"/>
      <c r="AS18" s="49"/>
      <c r="AT18" s="28"/>
      <c r="AU18" s="28"/>
      <c r="AV18" s="26"/>
      <c r="AW18" s="26"/>
      <c r="AX18" s="28"/>
      <c r="AY18" s="72">
        <f>Y18-AV18-AX18-AW18</f>
        <v>0</v>
      </c>
      <c r="AZ18" s="68"/>
      <c r="BA18" s="26">
        <f>AL18+AG18+AA18+AT18</f>
        <v>0</v>
      </c>
      <c r="BB18" s="30">
        <f>BD18+AO18+AG18</f>
        <v>0</v>
      </c>
      <c r="BC18" s="30">
        <f>BD18+AS18</f>
        <v>0</v>
      </c>
      <c r="BD18" s="30">
        <f>IF(BA18&gt;0,Y18-BA18,BA18)</f>
        <v>0</v>
      </c>
      <c r="BE18" s="31">
        <v>7</v>
      </c>
      <c r="BF18" s="30" t="s">
        <v>76</v>
      </c>
      <c r="BG18" s="31">
        <f>BE18*Q18</f>
        <v>0</v>
      </c>
      <c r="BH18" s="31">
        <f>BE18*R18*0.4</f>
        <v>0</v>
      </c>
      <c r="BI18" s="142">
        <f>BE18*T18</f>
        <v>0</v>
      </c>
      <c r="BJ18" s="142">
        <f>BE18*U18*0.4</f>
        <v>0</v>
      </c>
      <c r="BK18" s="32">
        <f>Y18*BE18</f>
        <v>0</v>
      </c>
      <c r="BL18" s="25">
        <v>84</v>
      </c>
      <c r="BM18" s="25">
        <v>84</v>
      </c>
      <c r="BN18" s="25">
        <v>84</v>
      </c>
      <c r="BO18" s="25">
        <v>84</v>
      </c>
      <c r="BP18" s="25">
        <f>BE18*AV18</f>
        <v>0</v>
      </c>
      <c r="BQ18" s="25">
        <f>BE18*AX18</f>
        <v>0</v>
      </c>
      <c r="BR18" s="28"/>
    </row>
    <row r="19" spans="1:70" s="6" customFormat="1" ht="41.25" customHeight="1">
      <c r="A19" s="18">
        <v>16</v>
      </c>
      <c r="B19" s="18" t="s">
        <v>48</v>
      </c>
      <c r="C19" s="65" t="s">
        <v>232</v>
      </c>
      <c r="D19" s="19" t="s">
        <v>50</v>
      </c>
      <c r="E19" s="22" t="s">
        <v>233</v>
      </c>
      <c r="F19" s="21" t="s">
        <v>52</v>
      </c>
      <c r="G19" s="21" t="s">
        <v>52</v>
      </c>
      <c r="H19" s="22"/>
      <c r="I19" s="22"/>
      <c r="J19" s="22">
        <v>120</v>
      </c>
      <c r="K19" s="22" t="s">
        <v>564</v>
      </c>
      <c r="L19" s="22"/>
      <c r="M19" s="22"/>
      <c r="N19" s="22" t="s">
        <v>234</v>
      </c>
      <c r="O19" s="23" t="s">
        <v>235</v>
      </c>
      <c r="P19" s="18" t="s">
        <v>56</v>
      </c>
      <c r="Q19" s="72"/>
      <c r="R19" s="72"/>
      <c r="S19" s="25">
        <v>9060</v>
      </c>
      <c r="T19" s="26"/>
      <c r="U19" s="26"/>
      <c r="V19" s="25">
        <v>9060</v>
      </c>
      <c r="W19" s="26"/>
      <c r="X19" s="25">
        <v>5436</v>
      </c>
      <c r="Y19" s="29">
        <f>T19+R19+Q19+U19+W19</f>
        <v>0</v>
      </c>
      <c r="Z19" s="27">
        <v>45300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41">
        <f>SUM(AM19:AS19)</f>
        <v>1155</v>
      </c>
      <c r="AM19" s="26"/>
      <c r="AN19" s="49">
        <v>0</v>
      </c>
      <c r="AO19" s="49">
        <v>1155</v>
      </c>
      <c r="AP19" s="49"/>
      <c r="AQ19" s="49"/>
      <c r="AR19" s="49"/>
      <c r="AS19" s="49"/>
      <c r="AT19" s="43"/>
      <c r="AU19" s="43"/>
      <c r="AV19" s="26"/>
      <c r="AW19" s="26"/>
      <c r="AX19" s="43"/>
      <c r="AY19" s="72">
        <f>Y19-AV19-AX19-AW19</f>
        <v>0</v>
      </c>
      <c r="AZ19" s="68"/>
      <c r="BA19" s="26">
        <f>AL19+AG19+AA19+AT19</f>
        <v>1155</v>
      </c>
      <c r="BB19" s="30">
        <f>BD19+AO19+AG19</f>
        <v>0</v>
      </c>
      <c r="BC19" s="30">
        <f>BD19+AS19</f>
        <v>-1155</v>
      </c>
      <c r="BD19" s="30">
        <f>IF(BA19&gt;0,Y19-BA19,BA19)</f>
        <v>-1155</v>
      </c>
      <c r="BE19" s="31">
        <v>4</v>
      </c>
      <c r="BF19" s="30" t="s">
        <v>76</v>
      </c>
      <c r="BG19" s="31">
        <f>BE19*Q19</f>
        <v>0</v>
      </c>
      <c r="BH19" s="31">
        <f>BE19*R19*0.4</f>
        <v>0</v>
      </c>
      <c r="BI19" s="142">
        <f>BE19*T19</f>
        <v>0</v>
      </c>
      <c r="BJ19" s="142">
        <f>BE19*U19*0.4</f>
        <v>0</v>
      </c>
      <c r="BK19" s="32">
        <f>Y19*BE19</f>
        <v>0</v>
      </c>
      <c r="BL19" s="25">
        <v>5436</v>
      </c>
      <c r="BM19" s="25">
        <v>5436</v>
      </c>
      <c r="BN19" s="25">
        <v>5436</v>
      </c>
      <c r="BO19" s="25">
        <v>5436</v>
      </c>
      <c r="BP19" s="25">
        <f>BE19*AV19</f>
        <v>0</v>
      </c>
      <c r="BQ19" s="25">
        <f>BE19*AX19</f>
        <v>0</v>
      </c>
      <c r="BR19" s="43"/>
    </row>
    <row r="20" spans="1:70" s="6" customFormat="1" ht="41.25" customHeight="1">
      <c r="A20" s="18">
        <v>17</v>
      </c>
      <c r="B20" s="18" t="s">
        <v>191</v>
      </c>
      <c r="C20" s="18" t="s">
        <v>192</v>
      </c>
      <c r="D20" s="21" t="s">
        <v>50</v>
      </c>
      <c r="E20" s="22" t="s">
        <v>236</v>
      </c>
      <c r="F20" s="52" t="s">
        <v>123</v>
      </c>
      <c r="G20" s="52" t="s">
        <v>123</v>
      </c>
      <c r="H20" s="22">
        <v>120</v>
      </c>
      <c r="I20" s="22">
        <v>200</v>
      </c>
      <c r="J20" s="22"/>
      <c r="K20" s="22"/>
      <c r="L20" s="22" t="s">
        <v>52</v>
      </c>
      <c r="M20" s="22"/>
      <c r="N20" s="22" t="s">
        <v>237</v>
      </c>
      <c r="O20" s="23" t="s">
        <v>238</v>
      </c>
      <c r="P20" s="18" t="s">
        <v>56</v>
      </c>
      <c r="Q20" s="72"/>
      <c r="R20" s="72"/>
      <c r="S20" s="25">
        <v>140</v>
      </c>
      <c r="T20" s="26"/>
      <c r="U20" s="26"/>
      <c r="V20" s="25">
        <v>140</v>
      </c>
      <c r="W20" s="26"/>
      <c r="X20" s="25">
        <v>84</v>
      </c>
      <c r="Y20" s="26">
        <f>T20+R20+Q20+U20+W20</f>
        <v>0</v>
      </c>
      <c r="Z20" s="27">
        <v>700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>
        <f>SUM(AM20:AS20)</f>
        <v>0</v>
      </c>
      <c r="AM20" s="26"/>
      <c r="AN20" s="26"/>
      <c r="AO20" s="26"/>
      <c r="AP20" s="26"/>
      <c r="AQ20" s="26"/>
      <c r="AR20" s="26"/>
      <c r="AS20" s="26"/>
      <c r="AT20" s="28"/>
      <c r="AU20" s="28"/>
      <c r="AV20" s="26"/>
      <c r="AW20" s="26"/>
      <c r="AX20" s="28"/>
      <c r="AY20" s="72">
        <f>Y20-AV20-AX20-AW20</f>
        <v>0</v>
      </c>
      <c r="AZ20" s="68"/>
      <c r="BA20" s="26">
        <f>AL20+AG20+AA20+AT20</f>
        <v>0</v>
      </c>
      <c r="BB20" s="30">
        <f>BD20+AO20+AG20</f>
        <v>0</v>
      </c>
      <c r="BC20" s="30">
        <f>BD20+AS20</f>
        <v>0</v>
      </c>
      <c r="BD20" s="30">
        <f>IF(BA20&gt;0,Y20-BA20,BA20)</f>
        <v>0</v>
      </c>
      <c r="BE20" s="31">
        <v>7</v>
      </c>
      <c r="BF20" s="30" t="s">
        <v>76</v>
      </c>
      <c r="BG20" s="31">
        <f>BE20*Q20</f>
        <v>0</v>
      </c>
      <c r="BH20" s="31">
        <f>BE20*R20*0.4</f>
        <v>0</v>
      </c>
      <c r="BI20" s="142">
        <f>BE20*T20</f>
        <v>0</v>
      </c>
      <c r="BJ20" s="142">
        <f>BE20*U20*0.4</f>
        <v>0</v>
      </c>
      <c r="BK20" s="32">
        <f>Y20*BE20</f>
        <v>0</v>
      </c>
      <c r="BL20" s="25">
        <v>84</v>
      </c>
      <c r="BM20" s="25">
        <v>84</v>
      </c>
      <c r="BN20" s="25">
        <v>84</v>
      </c>
      <c r="BO20" s="25">
        <v>84</v>
      </c>
      <c r="BP20" s="25">
        <f>BE20*AV20</f>
        <v>0</v>
      </c>
      <c r="BQ20" s="25">
        <f>BE20*AX20</f>
        <v>0</v>
      </c>
      <c r="BR20" s="28"/>
    </row>
    <row r="21" spans="1:70" s="6" customFormat="1" ht="41.25" customHeight="1">
      <c r="A21" s="18">
        <v>18</v>
      </c>
      <c r="B21" s="18" t="s">
        <v>191</v>
      </c>
      <c r="C21" s="18" t="s">
        <v>192</v>
      </c>
      <c r="D21" s="21" t="s">
        <v>50</v>
      </c>
      <c r="E21" s="22" t="s">
        <v>236</v>
      </c>
      <c r="F21" s="52" t="s">
        <v>123</v>
      </c>
      <c r="G21" s="52" t="s">
        <v>123</v>
      </c>
      <c r="H21" s="22">
        <v>120</v>
      </c>
      <c r="I21" s="22">
        <v>200</v>
      </c>
      <c r="J21" s="22">
        <v>200</v>
      </c>
      <c r="K21" s="22" t="s">
        <v>199</v>
      </c>
      <c r="L21" s="22"/>
      <c r="M21" s="22"/>
      <c r="N21" s="22" t="s">
        <v>253</v>
      </c>
      <c r="O21" s="23" t="s">
        <v>254</v>
      </c>
      <c r="P21" s="18" t="s">
        <v>56</v>
      </c>
      <c r="Q21" s="143">
        <v>60</v>
      </c>
      <c r="R21" s="72"/>
      <c r="S21" s="25">
        <v>140</v>
      </c>
      <c r="T21" s="26"/>
      <c r="U21" s="26"/>
      <c r="V21" s="25">
        <v>140</v>
      </c>
      <c r="W21" s="26"/>
      <c r="X21" s="25">
        <v>84</v>
      </c>
      <c r="Y21" s="29">
        <f>T21+R21+Q21+U21+W21</f>
        <v>60</v>
      </c>
      <c r="Z21" s="27">
        <v>700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f>SUM(AM21:AS21)</f>
        <v>0</v>
      </c>
      <c r="AM21" s="26"/>
      <c r="AN21" s="26"/>
      <c r="AO21" s="26"/>
      <c r="AP21" s="26"/>
      <c r="AQ21" s="26"/>
      <c r="AR21" s="26"/>
      <c r="AS21" s="26"/>
      <c r="AT21" s="28"/>
      <c r="AU21" s="28"/>
      <c r="AV21" s="26"/>
      <c r="AW21" s="26"/>
      <c r="AX21" s="28"/>
      <c r="AY21" s="29">
        <f>Y21-AV21-AX21-AW21</f>
        <v>60</v>
      </c>
      <c r="AZ21" s="29">
        <f ca="1">'Layout for shadhous 1&amp;2'!C61</f>
        <v>60</v>
      </c>
      <c r="BA21" s="26">
        <f>AL21+AG21+AA21+AT21</f>
        <v>0</v>
      </c>
      <c r="BB21" s="30">
        <f>BD21+AO21+AG21</f>
        <v>0</v>
      </c>
      <c r="BC21" s="30">
        <f>BD21+AS21</f>
        <v>0</v>
      </c>
      <c r="BD21" s="30">
        <f>IF(BA21&gt;0,Y21-BA21,BA21)</f>
        <v>0</v>
      </c>
      <c r="BE21" s="31">
        <v>7</v>
      </c>
      <c r="BF21" s="30" t="s">
        <v>76</v>
      </c>
      <c r="BG21" s="31">
        <f>BE21*Q21</f>
        <v>420</v>
      </c>
      <c r="BH21" s="31">
        <f>BE21*R21*0.4</f>
        <v>0</v>
      </c>
      <c r="BI21" s="31">
        <f>BE21*T21</f>
        <v>0</v>
      </c>
      <c r="BJ21" s="31">
        <f>BE21*U21*0.4</f>
        <v>0</v>
      </c>
      <c r="BK21" s="32">
        <f>Y21*BE21</f>
        <v>420</v>
      </c>
      <c r="BL21" s="25">
        <v>84</v>
      </c>
      <c r="BM21" s="25">
        <v>84</v>
      </c>
      <c r="BN21" s="25">
        <v>84</v>
      </c>
      <c r="BO21" s="25">
        <v>84</v>
      </c>
      <c r="BP21" s="25">
        <f>BE21*AV21</f>
        <v>0</v>
      </c>
      <c r="BQ21" s="25">
        <f>BE21*AX21</f>
        <v>0</v>
      </c>
      <c r="BR21" s="28"/>
    </row>
    <row r="22" spans="1:70" s="6" customFormat="1" ht="41.25" customHeight="1">
      <c r="A22" s="18">
        <v>19</v>
      </c>
      <c r="B22" s="18" t="s">
        <v>191</v>
      </c>
      <c r="C22" s="18" t="s">
        <v>192</v>
      </c>
      <c r="D22" s="21" t="s">
        <v>50</v>
      </c>
      <c r="E22" s="22" t="s">
        <v>255</v>
      </c>
      <c r="F22" s="19" t="s">
        <v>197</v>
      </c>
      <c r="G22" s="52" t="s">
        <v>123</v>
      </c>
      <c r="H22" s="22">
        <v>120</v>
      </c>
      <c r="I22" s="22">
        <v>200</v>
      </c>
      <c r="J22" s="96"/>
      <c r="K22" s="22"/>
      <c r="L22" s="22"/>
      <c r="M22" s="22"/>
      <c r="N22" s="22" t="s">
        <v>256</v>
      </c>
      <c r="O22" s="23"/>
      <c r="P22" s="18" t="s">
        <v>56</v>
      </c>
      <c r="Q22" s="29">
        <v>140</v>
      </c>
      <c r="R22" s="72"/>
      <c r="S22" s="25">
        <v>140</v>
      </c>
      <c r="T22" s="63">
        <v>140</v>
      </c>
      <c r="U22" s="26"/>
      <c r="V22" s="25">
        <v>140</v>
      </c>
      <c r="W22" s="63">
        <v>2220</v>
      </c>
      <c r="X22" s="25">
        <v>84</v>
      </c>
      <c r="Y22" s="29">
        <f>T22+R22+Q22+U22+W22</f>
        <v>2500</v>
      </c>
      <c r="Z22" s="27">
        <v>700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f>SUM(AM22:AS22)</f>
        <v>0</v>
      </c>
      <c r="AM22" s="26"/>
      <c r="AN22" s="26"/>
      <c r="AO22" s="26"/>
      <c r="AP22" s="26"/>
      <c r="AQ22" s="26"/>
      <c r="AR22" s="26"/>
      <c r="AS22" s="26"/>
      <c r="AT22" s="28"/>
      <c r="AU22" s="28"/>
      <c r="AV22" s="26"/>
      <c r="AW22" s="26"/>
      <c r="AX22" s="28"/>
      <c r="AY22" s="29">
        <f>Y22-AV22-AX22-AW22</f>
        <v>2500</v>
      </c>
      <c r="AZ22" s="29">
        <f ca="1">'Layout for shadhous 1&amp;2'!C60</f>
        <v>2500</v>
      </c>
      <c r="BA22" s="26">
        <f>AL22+AG22+AA22+AT22</f>
        <v>0</v>
      </c>
      <c r="BB22" s="30">
        <f>BD22+AO22+AG22</f>
        <v>0</v>
      </c>
      <c r="BC22" s="30">
        <f>BD22+AS22</f>
        <v>0</v>
      </c>
      <c r="BD22" s="30">
        <f>IF(BA22&gt;0,Y22-BA22,BA22)</f>
        <v>0</v>
      </c>
      <c r="BE22" s="31">
        <v>7</v>
      </c>
      <c r="BF22" s="30" t="s">
        <v>76</v>
      </c>
      <c r="BG22" s="31">
        <f>BE22*Q22</f>
        <v>980</v>
      </c>
      <c r="BH22" s="31">
        <f>BE22*R22*0.4</f>
        <v>0</v>
      </c>
      <c r="BI22" s="142">
        <f>BE22*T22</f>
        <v>980</v>
      </c>
      <c r="BJ22" s="142">
        <f>BE22*U22*0.4</f>
        <v>0</v>
      </c>
      <c r="BK22" s="32">
        <f>Y22*BE22</f>
        <v>17500</v>
      </c>
      <c r="BL22" s="25">
        <v>84</v>
      </c>
      <c r="BM22" s="25">
        <v>84</v>
      </c>
      <c r="BN22" s="25">
        <v>84</v>
      </c>
      <c r="BO22" s="25">
        <v>84</v>
      </c>
      <c r="BP22" s="25">
        <f>BE22*AV22</f>
        <v>0</v>
      </c>
      <c r="BQ22" s="25">
        <f>BE22*AX22</f>
        <v>0</v>
      </c>
      <c r="BR22" s="28"/>
    </row>
    <row r="23" spans="1:70" s="6" customFormat="1" ht="41.25" customHeight="1">
      <c r="A23" s="18">
        <v>20</v>
      </c>
      <c r="B23" s="18" t="s">
        <v>58</v>
      </c>
      <c r="C23" s="18" t="s">
        <v>259</v>
      </c>
      <c r="D23" s="21" t="s">
        <v>50</v>
      </c>
      <c r="E23" s="22" t="s">
        <v>260</v>
      </c>
      <c r="F23" s="34" t="s">
        <v>128</v>
      </c>
      <c r="G23" s="34" t="s">
        <v>128</v>
      </c>
      <c r="H23" s="22">
        <v>300</v>
      </c>
      <c r="I23" s="22">
        <v>1000</v>
      </c>
      <c r="J23" s="22"/>
      <c r="K23" s="22"/>
      <c r="L23" s="22" t="s">
        <v>119</v>
      </c>
      <c r="M23" s="22"/>
      <c r="N23" s="22" t="s">
        <v>261</v>
      </c>
      <c r="O23" s="23" t="s">
        <v>262</v>
      </c>
      <c r="P23" s="38" t="s">
        <v>56</v>
      </c>
      <c r="Q23" s="72"/>
      <c r="R23" s="72"/>
      <c r="S23" s="40">
        <v>500</v>
      </c>
      <c r="T23" s="26"/>
      <c r="U23" s="26"/>
      <c r="V23" s="25">
        <v>500</v>
      </c>
      <c r="W23" s="26"/>
      <c r="X23" s="25">
        <v>300</v>
      </c>
      <c r="Y23" s="26">
        <f>T23+R23+Q23+U23+W23</f>
        <v>0</v>
      </c>
      <c r="Z23" s="27">
        <v>2500</v>
      </c>
      <c r="AA23" s="26"/>
      <c r="AB23" s="26"/>
      <c r="AC23" s="26"/>
      <c r="AD23" s="26"/>
      <c r="AE23" s="26"/>
      <c r="AF23" s="26"/>
      <c r="AG23" s="57">
        <f>SUBTOTAL(9,AH23:AK23)</f>
        <v>297</v>
      </c>
      <c r="AH23" s="26"/>
      <c r="AI23" s="57">
        <v>297</v>
      </c>
      <c r="AJ23" s="26"/>
      <c r="AK23" s="26"/>
      <c r="AL23" s="26">
        <f>SUM(AM23:AS23)</f>
        <v>0</v>
      </c>
      <c r="AM23" s="26"/>
      <c r="AN23" s="26"/>
      <c r="AO23" s="26"/>
      <c r="AP23" s="26"/>
      <c r="AQ23" s="26"/>
      <c r="AR23" s="26"/>
      <c r="AS23" s="26"/>
      <c r="AT23" s="28"/>
      <c r="AU23" s="28"/>
      <c r="AV23" s="26"/>
      <c r="AW23" s="26"/>
      <c r="AX23" s="28"/>
      <c r="AY23" s="72">
        <f>Y23-AV23-AX23-AW23</f>
        <v>0</v>
      </c>
      <c r="AZ23" s="68"/>
      <c r="BA23" s="26">
        <f>AL23+AG23+AA23+AT23</f>
        <v>297</v>
      </c>
      <c r="BB23" s="30">
        <f>BD23+AO23+AG23</f>
        <v>0</v>
      </c>
      <c r="BC23" s="30">
        <f>BD23+AS23</f>
        <v>-297</v>
      </c>
      <c r="BD23" s="30">
        <f>IF(BA23&gt;0,Y23-BA23,BA23)</f>
        <v>-297</v>
      </c>
      <c r="BE23" s="31">
        <v>11</v>
      </c>
      <c r="BF23" s="30" t="s">
        <v>76</v>
      </c>
      <c r="BG23" s="31">
        <f>BE23*Q23</f>
        <v>0</v>
      </c>
      <c r="BH23" s="31">
        <f>BE23*R23*0.4</f>
        <v>0</v>
      </c>
      <c r="BI23" s="142">
        <f>BE23*T23</f>
        <v>0</v>
      </c>
      <c r="BJ23" s="142">
        <f>BE23*U23*0.4</f>
        <v>0</v>
      </c>
      <c r="BK23" s="32">
        <f>Y23*BE23</f>
        <v>0</v>
      </c>
      <c r="BL23" s="25">
        <v>300</v>
      </c>
      <c r="BM23" s="25">
        <v>300</v>
      </c>
      <c r="BN23" s="25">
        <v>300</v>
      </c>
      <c r="BO23" s="25">
        <v>300</v>
      </c>
      <c r="BP23" s="25">
        <f>BE23*AV23</f>
        <v>0</v>
      </c>
      <c r="BQ23" s="25">
        <f>BE23*AX23</f>
        <v>0</v>
      </c>
      <c r="BR23" s="28"/>
    </row>
    <row r="24" spans="1:70" s="6" customFormat="1" ht="41.25" customHeight="1">
      <c r="A24" s="18">
        <v>21</v>
      </c>
      <c r="B24" s="18" t="s">
        <v>48</v>
      </c>
      <c r="C24" s="18" t="s">
        <v>49</v>
      </c>
      <c r="D24" s="19" t="s">
        <v>50</v>
      </c>
      <c r="E24" s="22" t="s">
        <v>289</v>
      </c>
      <c r="F24" s="52" t="s">
        <v>123</v>
      </c>
      <c r="G24" s="52" t="s">
        <v>123</v>
      </c>
      <c r="H24" s="22"/>
      <c r="I24" s="22"/>
      <c r="J24" s="22"/>
      <c r="K24" s="22"/>
      <c r="L24" s="22"/>
      <c r="M24" s="22"/>
      <c r="N24" s="22" t="s">
        <v>290</v>
      </c>
      <c r="O24" s="23" t="s">
        <v>291</v>
      </c>
      <c r="P24" s="38" t="s">
        <v>56</v>
      </c>
      <c r="Q24" s="29">
        <f>7357+70-530+1601+400</f>
        <v>8898</v>
      </c>
      <c r="R24" s="146"/>
      <c r="S24" s="40">
        <v>9680</v>
      </c>
      <c r="T24" s="26"/>
      <c r="U24" s="26"/>
      <c r="V24" s="25">
        <v>9680</v>
      </c>
      <c r="W24" s="26"/>
      <c r="X24" s="25">
        <v>5808</v>
      </c>
      <c r="Y24" s="29">
        <f>T24+R24+Q24+U24+W24</f>
        <v>8898</v>
      </c>
      <c r="Z24" s="27">
        <v>48400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41">
        <f>SUM(AM24:AS24)</f>
        <v>728</v>
      </c>
      <c r="AM24" s="41">
        <v>307</v>
      </c>
      <c r="AN24" s="49">
        <v>0</v>
      </c>
      <c r="AO24" s="49">
        <v>421</v>
      </c>
      <c r="AP24" s="49"/>
      <c r="AQ24" s="49"/>
      <c r="AR24" s="49"/>
      <c r="AS24" s="49"/>
      <c r="AT24" s="43"/>
      <c r="AU24" s="43"/>
      <c r="AV24" s="41">
        <v>307</v>
      </c>
      <c r="AW24" s="26"/>
      <c r="AX24" s="70">
        <v>1000</v>
      </c>
      <c r="AY24" s="29">
        <f>Y24-AV24-AX24-AW24</f>
        <v>7591</v>
      </c>
      <c r="AZ24" s="29">
        <f ca="1">'Layout for shadhous 1&amp;2'!C59</f>
        <v>7591</v>
      </c>
      <c r="BA24" s="26">
        <f>AL24+AG24+AA24+AT24</f>
        <v>728</v>
      </c>
      <c r="BB24" s="30">
        <f>BD24+AO24+AG24</f>
        <v>8591</v>
      </c>
      <c r="BC24" s="30">
        <f>BD24+AS24</f>
        <v>8170</v>
      </c>
      <c r="BD24" s="30">
        <f>IF(BA24&gt;0,Y24-BA24,BA24)</f>
        <v>8170</v>
      </c>
      <c r="BE24" s="31">
        <v>11</v>
      </c>
      <c r="BF24" s="30" t="s">
        <v>76</v>
      </c>
      <c r="BG24" s="31">
        <f>BE24*Q24</f>
        <v>97878</v>
      </c>
      <c r="BH24" s="31">
        <f>BE24*R24*0.4</f>
        <v>0</v>
      </c>
      <c r="BI24" s="142">
        <f>BE24*T24</f>
        <v>0</v>
      </c>
      <c r="BJ24" s="142">
        <f>BE24*U24*0.4</f>
        <v>0</v>
      </c>
      <c r="BK24" s="32">
        <f>Y24*BE24</f>
        <v>97878</v>
      </c>
      <c r="BL24" s="25">
        <v>5808</v>
      </c>
      <c r="BM24" s="25">
        <v>5808</v>
      </c>
      <c r="BN24" s="25">
        <v>5808</v>
      </c>
      <c r="BO24" s="25">
        <v>5808</v>
      </c>
      <c r="BP24" s="25">
        <f>BE24*AV24</f>
        <v>3377</v>
      </c>
      <c r="BQ24" s="25">
        <f>BE24*AX24</f>
        <v>11000</v>
      </c>
      <c r="BR24" s="43"/>
    </row>
    <row r="25" spans="1:70" s="6" customFormat="1" ht="41.25" customHeight="1">
      <c r="A25" s="18">
        <v>22</v>
      </c>
      <c r="B25" s="50" t="s">
        <v>48</v>
      </c>
      <c r="C25" s="44" t="s">
        <v>49</v>
      </c>
      <c r="D25" s="19" t="s">
        <v>50</v>
      </c>
      <c r="E25" s="50" t="s">
        <v>289</v>
      </c>
      <c r="F25" s="52" t="s">
        <v>123</v>
      </c>
      <c r="G25" s="52" t="s">
        <v>123</v>
      </c>
      <c r="H25" s="50">
        <v>120</v>
      </c>
      <c r="I25" s="50">
        <v>200</v>
      </c>
      <c r="J25" s="50"/>
      <c r="K25" s="50"/>
      <c r="L25" s="50"/>
      <c r="M25" s="50"/>
      <c r="N25" s="22" t="s">
        <v>296</v>
      </c>
      <c r="O25" s="23" t="s">
        <v>297</v>
      </c>
      <c r="P25" s="18" t="s">
        <v>56</v>
      </c>
      <c r="Q25" s="73">
        <f>2740-339-189</f>
        <v>2212</v>
      </c>
      <c r="R25" s="146"/>
      <c r="S25" s="25">
        <v>2740</v>
      </c>
      <c r="T25" s="26"/>
      <c r="U25" s="26"/>
      <c r="V25" s="25">
        <v>2740</v>
      </c>
      <c r="W25" s="26"/>
      <c r="X25" s="25">
        <v>1644</v>
      </c>
      <c r="Y25" s="29">
        <f>T25+R25+Q25+U25+W25</f>
        <v>2212</v>
      </c>
      <c r="Z25" s="27">
        <v>13700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41">
        <f>SUM(AM25:AS25)</f>
        <v>577</v>
      </c>
      <c r="AM25" s="41"/>
      <c r="AN25" s="49">
        <v>0</v>
      </c>
      <c r="AO25" s="49">
        <v>577</v>
      </c>
      <c r="AP25" s="49"/>
      <c r="AQ25" s="49"/>
      <c r="AR25" s="49"/>
      <c r="AS25" s="49"/>
      <c r="AT25" s="43"/>
      <c r="AU25" s="43"/>
      <c r="AV25" s="26"/>
      <c r="AW25" s="26"/>
      <c r="AX25" s="43"/>
      <c r="AY25" s="29">
        <f>Y25-AV25-AX25-AW25</f>
        <v>2212</v>
      </c>
      <c r="AZ25" s="29">
        <f>'Layout for shadhous 3'!E48</f>
        <v>2212</v>
      </c>
      <c r="BA25" s="26">
        <f>AL25+AG25+AA25+AT25</f>
        <v>577</v>
      </c>
      <c r="BB25" s="30">
        <f>BD25+AO25+AG25</f>
        <v>2212</v>
      </c>
      <c r="BC25" s="30">
        <f>BD25+AS25</f>
        <v>1635</v>
      </c>
      <c r="BD25" s="30">
        <f>IF(BA25&gt;0,Y25-BA25,BA25)</f>
        <v>1635</v>
      </c>
      <c r="BE25" s="31">
        <v>8</v>
      </c>
      <c r="BF25" s="30" t="s">
        <v>76</v>
      </c>
      <c r="BG25" s="31">
        <f>BE25*Q25</f>
        <v>17696</v>
      </c>
      <c r="BH25" s="31">
        <f>BE25*R25*0.4</f>
        <v>0</v>
      </c>
      <c r="BI25" s="142">
        <f>BE25*T25</f>
        <v>0</v>
      </c>
      <c r="BJ25" s="142">
        <f>BE25*U25*0.4</f>
        <v>0</v>
      </c>
      <c r="BK25" s="32">
        <f>Y25*BE25</f>
        <v>17696</v>
      </c>
      <c r="BL25" s="25">
        <v>1644</v>
      </c>
      <c r="BM25" s="25">
        <v>1644</v>
      </c>
      <c r="BN25" s="25">
        <v>1644</v>
      </c>
      <c r="BO25" s="25">
        <v>1644</v>
      </c>
      <c r="BP25" s="25">
        <f>BE25*AV25</f>
        <v>0</v>
      </c>
      <c r="BQ25" s="25">
        <f>BE25*AX25</f>
        <v>0</v>
      </c>
      <c r="BR25" s="43"/>
    </row>
    <row r="26" spans="1:70" s="6" customFormat="1" ht="41.25" customHeight="1">
      <c r="A26" s="18">
        <v>23</v>
      </c>
      <c r="B26" s="18" t="s">
        <v>48</v>
      </c>
      <c r="C26" s="18" t="s">
        <v>81</v>
      </c>
      <c r="D26" s="36" t="s">
        <v>68</v>
      </c>
      <c r="E26" s="22" t="s">
        <v>300</v>
      </c>
      <c r="F26" s="36" t="s">
        <v>70</v>
      </c>
      <c r="G26" s="36" t="s">
        <v>70</v>
      </c>
      <c r="H26" s="22"/>
      <c r="I26" s="37" t="s">
        <v>104</v>
      </c>
      <c r="J26" s="37"/>
      <c r="K26" s="37"/>
      <c r="L26" s="37"/>
      <c r="M26" s="23" t="s">
        <v>301</v>
      </c>
      <c r="N26" s="22" t="s">
        <v>302</v>
      </c>
      <c r="O26" s="23" t="s">
        <v>303</v>
      </c>
      <c r="P26" s="18" t="s">
        <v>56</v>
      </c>
      <c r="Q26" s="29">
        <v>404</v>
      </c>
      <c r="R26" s="72"/>
      <c r="S26" s="40">
        <v>404</v>
      </c>
      <c r="T26" s="29">
        <v>242</v>
      </c>
      <c r="U26" s="26"/>
      <c r="V26" s="25">
        <v>242</v>
      </c>
      <c r="W26" s="29">
        <v>352</v>
      </c>
      <c r="X26" s="25">
        <v>242</v>
      </c>
      <c r="Y26" s="29">
        <f>T26+R26+Q26+U26+W26</f>
        <v>998</v>
      </c>
      <c r="Z26" s="27">
        <v>2020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41">
        <f>SUM(AM26:AS26)</f>
        <v>44</v>
      </c>
      <c r="AM26" s="41">
        <v>22</v>
      </c>
      <c r="AN26" s="42">
        <v>13</v>
      </c>
      <c r="AO26" s="42">
        <v>9</v>
      </c>
      <c r="AP26" s="42"/>
      <c r="AQ26" s="42"/>
      <c r="AR26" s="42"/>
      <c r="AS26" s="42"/>
      <c r="AT26" s="43"/>
      <c r="AU26" s="43"/>
      <c r="AV26" s="41">
        <f>4+16+2</f>
        <v>22</v>
      </c>
      <c r="AW26" s="26"/>
      <c r="AX26" s="43"/>
      <c r="AY26" s="29">
        <f>Y26-AV26-AX26-AW26</f>
        <v>976</v>
      </c>
      <c r="AZ26" s="29">
        <f>'Layout for trees right'!E25</f>
        <v>976</v>
      </c>
      <c r="BA26" s="26">
        <f>AL26+AG26+AA26+AT26</f>
        <v>44</v>
      </c>
      <c r="BB26" s="30">
        <f>BD26+AO26+AG26</f>
        <v>963</v>
      </c>
      <c r="BC26" s="30">
        <f>BD26+AS26</f>
        <v>954</v>
      </c>
      <c r="BD26" s="30">
        <f>IF(BA26&gt;0,Y26-BA26,BA26)</f>
        <v>954</v>
      </c>
      <c r="BE26" s="31">
        <v>154</v>
      </c>
      <c r="BF26" s="30" t="s">
        <v>76</v>
      </c>
      <c r="BG26" s="31">
        <f>BE26*Q26</f>
        <v>62216</v>
      </c>
      <c r="BH26" s="31">
        <f>BE26*R26*0.4</f>
        <v>0</v>
      </c>
      <c r="BI26" s="142">
        <f>BE26*T26</f>
        <v>37268</v>
      </c>
      <c r="BJ26" s="142">
        <f>BE26*U26*0.4</f>
        <v>0</v>
      </c>
      <c r="BK26" s="32">
        <f>Y26*BE26</f>
        <v>153692</v>
      </c>
      <c r="BL26" s="25">
        <v>242</v>
      </c>
      <c r="BM26" s="25">
        <v>242</v>
      </c>
      <c r="BN26" s="25">
        <v>242</v>
      </c>
      <c r="BO26" s="25">
        <v>406</v>
      </c>
      <c r="BP26" s="25">
        <f>BE26*AV26</f>
        <v>3388</v>
      </c>
      <c r="BQ26" s="25">
        <f>BE26*AX26</f>
        <v>0</v>
      </c>
      <c r="BR26" s="43"/>
    </row>
    <row r="27" spans="1:70" s="6" customFormat="1" ht="41.25" customHeight="1">
      <c r="A27" s="18">
        <v>24</v>
      </c>
      <c r="B27" s="18" t="s">
        <v>48</v>
      </c>
      <c r="C27" s="18" t="s">
        <v>49</v>
      </c>
      <c r="D27" s="19" t="s">
        <v>50</v>
      </c>
      <c r="E27" s="22" t="s">
        <v>305</v>
      </c>
      <c r="F27" s="48" t="s">
        <v>98</v>
      </c>
      <c r="G27" s="52" t="s">
        <v>123</v>
      </c>
      <c r="H27" s="22"/>
      <c r="I27" s="22"/>
      <c r="J27" s="22"/>
      <c r="K27" s="22"/>
      <c r="L27" s="22"/>
      <c r="M27" s="22"/>
      <c r="N27" s="22" t="s">
        <v>306</v>
      </c>
      <c r="O27" s="23" t="s">
        <v>307</v>
      </c>
      <c r="P27" s="18" t="s">
        <v>56</v>
      </c>
      <c r="Q27" s="29">
        <v>820</v>
      </c>
      <c r="R27" s="72"/>
      <c r="S27" s="25">
        <v>820</v>
      </c>
      <c r="T27" s="29">
        <f>380+161-180</f>
        <v>361</v>
      </c>
      <c r="U27" s="26"/>
      <c r="V27" s="25">
        <v>820</v>
      </c>
      <c r="W27" s="26"/>
      <c r="X27" s="25">
        <v>492</v>
      </c>
      <c r="Y27" s="29">
        <f>T27+R27+Q27+U27+W27</f>
        <v>1181</v>
      </c>
      <c r="Z27" s="27">
        <v>4100</v>
      </c>
      <c r="AA27" s="64">
        <f>SUBTOTAL(9,AB27:AF27)</f>
        <v>246</v>
      </c>
      <c r="AB27" s="82">
        <v>161</v>
      </c>
      <c r="AC27" s="26"/>
      <c r="AD27" s="26"/>
      <c r="AE27" s="26"/>
      <c r="AF27" s="82">
        <v>85</v>
      </c>
      <c r="AG27" s="26"/>
      <c r="AH27" s="26"/>
      <c r="AI27" s="26"/>
      <c r="AJ27" s="26"/>
      <c r="AK27" s="26"/>
      <c r="AL27" s="41">
        <f>SUM(AM27:AS27)</f>
        <v>1988</v>
      </c>
      <c r="AM27" s="26"/>
      <c r="AN27" s="49">
        <v>0</v>
      </c>
      <c r="AO27" s="49">
        <f>1138+850</f>
        <v>1988</v>
      </c>
      <c r="AP27" s="49"/>
      <c r="AQ27" s="49"/>
      <c r="AR27" s="49"/>
      <c r="AS27" s="49"/>
      <c r="AT27" s="43"/>
      <c r="AU27" s="43"/>
      <c r="AV27" s="26"/>
      <c r="AW27" s="82">
        <v>161</v>
      </c>
      <c r="AX27" s="43"/>
      <c r="AY27" s="29">
        <f>Y27-AV27-AX27-AW27</f>
        <v>1020</v>
      </c>
      <c r="AZ27" s="29">
        <f ca="1">'Layout for shadhous 1&amp;2'!C63</f>
        <v>1020</v>
      </c>
      <c r="BA27" s="26">
        <f>AL27+AG27+AA27+AT27</f>
        <v>2234</v>
      </c>
      <c r="BB27" s="30">
        <f>BD27+AO27+AG27</f>
        <v>935</v>
      </c>
      <c r="BC27" s="30">
        <f>BD27+AS27</f>
        <v>-1053</v>
      </c>
      <c r="BD27" s="30">
        <f>IF(BA27&gt;0,Y27-BA27,BA27)</f>
        <v>-1053</v>
      </c>
      <c r="BE27" s="31">
        <v>11</v>
      </c>
      <c r="BF27" s="30" t="s">
        <v>76</v>
      </c>
      <c r="BG27" s="31">
        <f>BE27*Q27</f>
        <v>9020</v>
      </c>
      <c r="BH27" s="31">
        <f>BE27*R27*0.4</f>
        <v>0</v>
      </c>
      <c r="BI27" s="31">
        <f>BE27*T27</f>
        <v>3971</v>
      </c>
      <c r="BJ27" s="31">
        <f>BE27*U27*0.4</f>
        <v>0</v>
      </c>
      <c r="BK27" s="32">
        <f>Y27*BE27</f>
        <v>12991</v>
      </c>
      <c r="BL27" s="25">
        <v>492</v>
      </c>
      <c r="BM27" s="25">
        <v>492</v>
      </c>
      <c r="BN27" s="25">
        <v>492</v>
      </c>
      <c r="BO27" s="25">
        <v>492</v>
      </c>
      <c r="BP27" s="25">
        <f>BE27*AV27</f>
        <v>0</v>
      </c>
      <c r="BQ27" s="25">
        <f>BE27*AX27</f>
        <v>0</v>
      </c>
      <c r="BR27" s="43"/>
    </row>
    <row r="28" spans="1:70" s="6" customFormat="1" ht="41.25" customHeight="1">
      <c r="A28" s="18">
        <v>25</v>
      </c>
      <c r="B28" s="18" t="s">
        <v>191</v>
      </c>
      <c r="C28" s="18" t="s">
        <v>192</v>
      </c>
      <c r="D28" s="21" t="s">
        <v>50</v>
      </c>
      <c r="E28" s="22" t="s">
        <v>336</v>
      </c>
      <c r="F28" s="52" t="s">
        <v>123</v>
      </c>
      <c r="G28" s="48" t="s">
        <v>239</v>
      </c>
      <c r="H28" s="22">
        <v>200</v>
      </c>
      <c r="I28" s="22">
        <v>500</v>
      </c>
      <c r="J28" s="22">
        <v>200</v>
      </c>
      <c r="K28" s="22" t="s">
        <v>199</v>
      </c>
      <c r="L28" s="22"/>
      <c r="M28" s="22"/>
      <c r="N28" s="22" t="s">
        <v>337</v>
      </c>
      <c r="O28" s="23" t="s">
        <v>338</v>
      </c>
      <c r="P28" s="38" t="s">
        <v>56</v>
      </c>
      <c r="Q28" s="143">
        <v>15</v>
      </c>
      <c r="R28" s="59"/>
      <c r="S28" s="40">
        <v>240</v>
      </c>
      <c r="T28" s="26"/>
      <c r="U28" s="26"/>
      <c r="V28" s="25">
        <v>240</v>
      </c>
      <c r="W28" s="26"/>
      <c r="X28" s="25">
        <v>144</v>
      </c>
      <c r="Y28" s="29">
        <f>T28+R28+Q28+U28+W28</f>
        <v>15</v>
      </c>
      <c r="Z28" s="27">
        <v>1200</v>
      </c>
      <c r="AA28" s="26"/>
      <c r="AB28" s="26"/>
      <c r="AC28" s="26"/>
      <c r="AD28" s="26"/>
      <c r="AE28" s="26"/>
      <c r="AF28" s="26"/>
      <c r="AG28" s="57">
        <f>SUBTOTAL(9,AH28:AK28)</f>
        <v>213</v>
      </c>
      <c r="AH28" s="26"/>
      <c r="AI28" s="57">
        <v>213</v>
      </c>
      <c r="AJ28" s="26"/>
      <c r="AK28" s="26"/>
      <c r="AL28" s="26">
        <f>SUM(AM28:AS28)</f>
        <v>0</v>
      </c>
      <c r="AM28" s="26"/>
      <c r="AN28" s="26"/>
      <c r="AO28" s="26"/>
      <c r="AP28" s="26"/>
      <c r="AQ28" s="26"/>
      <c r="AR28" s="26"/>
      <c r="AS28" s="26"/>
      <c r="AT28" s="28"/>
      <c r="AU28" s="28"/>
      <c r="AV28" s="26"/>
      <c r="AW28" s="26"/>
      <c r="AX28" s="28"/>
      <c r="AY28" s="29">
        <f>Y28-AV28-AX28-AW28</f>
        <v>15</v>
      </c>
      <c r="AZ28" s="29"/>
      <c r="BA28" s="26">
        <f>AL28+AG28+AA28+AT28</f>
        <v>213</v>
      </c>
      <c r="BB28" s="30">
        <f>BD28+AO28+AG28</f>
        <v>15</v>
      </c>
      <c r="BC28" s="30">
        <f>BD28+AS28</f>
        <v>-198</v>
      </c>
      <c r="BD28" s="30">
        <f>IF(BA28&gt;0,Y28-BA28,BA28)</f>
        <v>-198</v>
      </c>
      <c r="BE28" s="31">
        <v>11</v>
      </c>
      <c r="BF28" s="30" t="s">
        <v>76</v>
      </c>
      <c r="BG28" s="31">
        <f>BE28*Q28</f>
        <v>165</v>
      </c>
      <c r="BH28" s="31">
        <f>BE28*R28*0.4</f>
        <v>0</v>
      </c>
      <c r="BI28" s="142">
        <f>BE28*T28</f>
        <v>0</v>
      </c>
      <c r="BJ28" s="142">
        <f>BE28*U28*0.4</f>
        <v>0</v>
      </c>
      <c r="BK28" s="32">
        <f>Y28*BE28</f>
        <v>165</v>
      </c>
      <c r="BL28" s="25">
        <v>144</v>
      </c>
      <c r="BM28" s="25">
        <v>144</v>
      </c>
      <c r="BN28" s="25">
        <v>144</v>
      </c>
      <c r="BO28" s="25">
        <v>144</v>
      </c>
      <c r="BP28" s="25">
        <f>BE28*AV28</f>
        <v>0</v>
      </c>
      <c r="BQ28" s="25">
        <f>BE28*AX28</f>
        <v>0</v>
      </c>
      <c r="BR28" s="28"/>
    </row>
    <row r="29" spans="1:70" s="6" customFormat="1" ht="41.25" customHeight="1">
      <c r="A29" s="18">
        <v>26</v>
      </c>
      <c r="B29" s="18" t="s">
        <v>58</v>
      </c>
      <c r="C29" s="18" t="s">
        <v>259</v>
      </c>
      <c r="D29" s="21" t="s">
        <v>50</v>
      </c>
      <c r="E29" s="22" t="s">
        <v>260</v>
      </c>
      <c r="F29" s="21" t="s">
        <v>52</v>
      </c>
      <c r="G29" s="21" t="s">
        <v>52</v>
      </c>
      <c r="H29" s="22">
        <v>500</v>
      </c>
      <c r="I29" s="22"/>
      <c r="J29" s="22"/>
      <c r="K29" s="22"/>
      <c r="L29" s="22" t="s">
        <v>52</v>
      </c>
      <c r="M29" s="22"/>
      <c r="N29" s="22" t="s">
        <v>341</v>
      </c>
      <c r="O29" s="23" t="s">
        <v>342</v>
      </c>
      <c r="P29" s="18" t="s">
        <v>56</v>
      </c>
      <c r="Q29" s="72"/>
      <c r="R29" s="72"/>
      <c r="S29" s="25">
        <v>140</v>
      </c>
      <c r="T29" s="26"/>
      <c r="U29" s="26"/>
      <c r="V29" s="25">
        <v>140</v>
      </c>
      <c r="W29" s="26"/>
      <c r="X29" s="25">
        <v>84</v>
      </c>
      <c r="Y29" s="72">
        <f>T29+R29+Q29+U29+W29</f>
        <v>0</v>
      </c>
      <c r="Z29" s="27">
        <v>700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>
        <f>SUM(AM29:AS29)</f>
        <v>0</v>
      </c>
      <c r="AM29" s="26"/>
      <c r="AN29" s="26"/>
      <c r="AO29" s="26"/>
      <c r="AP29" s="26"/>
      <c r="AQ29" s="26"/>
      <c r="AR29" s="26"/>
      <c r="AS29" s="26"/>
      <c r="AT29" s="28"/>
      <c r="AU29" s="28"/>
      <c r="AV29" s="26"/>
      <c r="AW29" s="26"/>
      <c r="AX29" s="28"/>
      <c r="AY29" s="72">
        <f>Y29-AV29-AX29-AW29</f>
        <v>0</v>
      </c>
      <c r="AZ29" s="68"/>
      <c r="BA29" s="26">
        <f>AL29+AG29+AA29+AT29</f>
        <v>0</v>
      </c>
      <c r="BB29" s="30">
        <f>BD29+AO29+AG29</f>
        <v>0</v>
      </c>
      <c r="BC29" s="30">
        <f>BD29+AS29</f>
        <v>0</v>
      </c>
      <c r="BD29" s="30">
        <f>IF(BA29&gt;0,Y29-BA29,BA29)</f>
        <v>0</v>
      </c>
      <c r="BE29" s="31">
        <v>30</v>
      </c>
      <c r="BF29" s="30" t="s">
        <v>76</v>
      </c>
      <c r="BG29" s="31">
        <f>BE29*Q29</f>
        <v>0</v>
      </c>
      <c r="BH29" s="31">
        <f>BE29*R29*0.4</f>
        <v>0</v>
      </c>
      <c r="BI29" s="142">
        <f>BE29*T29</f>
        <v>0</v>
      </c>
      <c r="BJ29" s="142">
        <f>BE29*U29*0.4</f>
        <v>0</v>
      </c>
      <c r="BK29" s="32">
        <f>Y29*BE29</f>
        <v>0</v>
      </c>
      <c r="BL29" s="25">
        <v>84</v>
      </c>
      <c r="BM29" s="25">
        <v>84</v>
      </c>
      <c r="BN29" s="25">
        <v>84</v>
      </c>
      <c r="BO29" s="25">
        <v>84</v>
      </c>
      <c r="BP29" s="25">
        <f>BE29*AV29</f>
        <v>0</v>
      </c>
      <c r="BQ29" s="25">
        <f>BE29*AX29</f>
        <v>0</v>
      </c>
      <c r="BR29" s="28"/>
    </row>
    <row r="30" spans="1:70" s="6" customFormat="1" ht="41.25" customHeight="1">
      <c r="A30" s="18">
        <v>27</v>
      </c>
      <c r="B30" s="18" t="s">
        <v>48</v>
      </c>
      <c r="C30" s="65" t="s">
        <v>232</v>
      </c>
      <c r="D30" s="19" t="s">
        <v>50</v>
      </c>
      <c r="E30" s="22" t="s">
        <v>273</v>
      </c>
      <c r="F30" s="34" t="s">
        <v>128</v>
      </c>
      <c r="G30" s="34" t="s">
        <v>128</v>
      </c>
      <c r="H30" s="22"/>
      <c r="I30" s="37" t="s">
        <v>360</v>
      </c>
      <c r="J30" s="37"/>
      <c r="K30" s="37"/>
      <c r="L30" s="37"/>
      <c r="M30" s="37"/>
      <c r="N30" s="22" t="s">
        <v>361</v>
      </c>
      <c r="O30" s="23"/>
      <c r="P30" s="18" t="s">
        <v>56</v>
      </c>
      <c r="Q30" s="143">
        <f>5000+5900</f>
        <v>10900</v>
      </c>
      <c r="R30" s="72"/>
      <c r="S30" s="25">
        <v>11520</v>
      </c>
      <c r="T30" s="26"/>
      <c r="U30" s="26"/>
      <c r="V30" s="25">
        <v>11520</v>
      </c>
      <c r="W30" s="26"/>
      <c r="X30" s="25">
        <v>6912</v>
      </c>
      <c r="Y30" s="29">
        <f>T30+R30+Q30+U30+W30</f>
        <v>10900</v>
      </c>
      <c r="Z30" s="27">
        <v>57600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f>SUM(AM30:AS30)</f>
        <v>0</v>
      </c>
      <c r="AM30" s="26"/>
      <c r="AN30" s="26"/>
      <c r="AO30" s="26"/>
      <c r="AP30" s="26"/>
      <c r="AQ30" s="26"/>
      <c r="AR30" s="26"/>
      <c r="AS30" s="26"/>
      <c r="AT30" s="28"/>
      <c r="AU30" s="28"/>
      <c r="AV30" s="26"/>
      <c r="AW30" s="26"/>
      <c r="AX30" s="28"/>
      <c r="AY30" s="29">
        <f>Y30-AV30-AX30-AW30</f>
        <v>10900</v>
      </c>
      <c r="AZ30" s="29">
        <f ca="1">'Layout for shadhous 1&amp;2'!C65</f>
        <v>10900</v>
      </c>
      <c r="BA30" s="26">
        <f>AL30+AG30+AA30+AT30</f>
        <v>0</v>
      </c>
      <c r="BB30" s="30">
        <f>BD30+AO30+AG30</f>
        <v>0</v>
      </c>
      <c r="BC30" s="30">
        <f>BD30+AS30</f>
        <v>0</v>
      </c>
      <c r="BD30" s="30">
        <f>IF(BA30&gt;0,Y30-BA30,BA30)</f>
        <v>0</v>
      </c>
      <c r="BE30" s="31">
        <v>15</v>
      </c>
      <c r="BF30" s="30" t="s">
        <v>76</v>
      </c>
      <c r="BG30" s="31">
        <f>BE30*Q30</f>
        <v>163500</v>
      </c>
      <c r="BH30" s="31">
        <f>BE30*R30*0.4</f>
        <v>0</v>
      </c>
      <c r="BI30" s="142">
        <f>BE30*T30</f>
        <v>0</v>
      </c>
      <c r="BJ30" s="142">
        <f>BE30*U30*0.4</f>
        <v>0</v>
      </c>
      <c r="BK30" s="32">
        <f>Y30*BE30</f>
        <v>163500</v>
      </c>
      <c r="BL30" s="25">
        <v>6912</v>
      </c>
      <c r="BM30" s="25">
        <v>6912</v>
      </c>
      <c r="BN30" s="25">
        <v>6912</v>
      </c>
      <c r="BO30" s="25">
        <v>6912</v>
      </c>
      <c r="BP30" s="25">
        <f>BE30*AV30</f>
        <v>0</v>
      </c>
      <c r="BQ30" s="25">
        <f>BE30*AX30</f>
        <v>0</v>
      </c>
      <c r="BR30" s="28"/>
    </row>
    <row r="31" spans="1:70" s="6" customFormat="1" ht="41.25" customHeight="1">
      <c r="A31" s="18">
        <v>28</v>
      </c>
      <c r="B31" s="18" t="s">
        <v>58</v>
      </c>
      <c r="C31" s="65" t="s">
        <v>369</v>
      </c>
      <c r="D31" s="21" t="s">
        <v>50</v>
      </c>
      <c r="E31" s="22" t="s">
        <v>370</v>
      </c>
      <c r="F31" s="21" t="s">
        <v>371</v>
      </c>
      <c r="G31" s="21" t="s">
        <v>52</v>
      </c>
      <c r="H31" s="22"/>
      <c r="I31" s="22"/>
      <c r="J31" s="22"/>
      <c r="K31" s="22"/>
      <c r="L31" s="22"/>
      <c r="M31" s="22"/>
      <c r="N31" s="22" t="s">
        <v>372</v>
      </c>
      <c r="O31" s="23" t="s">
        <v>373</v>
      </c>
      <c r="P31" s="18" t="s">
        <v>56</v>
      </c>
      <c r="Q31" s="29">
        <v>450</v>
      </c>
      <c r="R31" s="72"/>
      <c r="S31" s="25">
        <v>9060</v>
      </c>
      <c r="T31" s="26"/>
      <c r="U31" s="26"/>
      <c r="V31" s="25">
        <v>9060</v>
      </c>
      <c r="W31" s="26"/>
      <c r="X31" s="25">
        <v>5436</v>
      </c>
      <c r="Y31" s="29">
        <f>T31+R31+Q31+U31+W31</f>
        <v>450</v>
      </c>
      <c r="Z31" s="27">
        <v>45300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f>SUM(AM31:AS31)</f>
        <v>0</v>
      </c>
      <c r="AM31" s="26"/>
      <c r="AN31" s="26"/>
      <c r="AO31" s="26"/>
      <c r="AP31" s="26"/>
      <c r="AQ31" s="26"/>
      <c r="AR31" s="26"/>
      <c r="AS31" s="26"/>
      <c r="AT31" s="28"/>
      <c r="AU31" s="28"/>
      <c r="AV31" s="26"/>
      <c r="AW31" s="26"/>
      <c r="AX31" s="28"/>
      <c r="AY31" s="29">
        <f>Y31-AV31-AX31-AW31</f>
        <v>450</v>
      </c>
      <c r="AZ31" s="29"/>
      <c r="BA31" s="26">
        <f>AL31+AG31+AA31+AT31</f>
        <v>0</v>
      </c>
      <c r="BB31" s="30">
        <f>BD31+AO31+AG31</f>
        <v>0</v>
      </c>
      <c r="BC31" s="30">
        <f>BD31+AS31</f>
        <v>0</v>
      </c>
      <c r="BD31" s="30">
        <f>IF(BA31&gt;0,Y31-BA31,BA31)</f>
        <v>0</v>
      </c>
      <c r="BE31" s="31">
        <v>3.75</v>
      </c>
      <c r="BF31" s="30" t="s">
        <v>76</v>
      </c>
      <c r="BG31" s="31">
        <f>BE31*Q31</f>
        <v>1687.5</v>
      </c>
      <c r="BH31" s="31">
        <f>BE31*R31*0.4</f>
        <v>0</v>
      </c>
      <c r="BI31" s="142">
        <f>BE31*T31</f>
        <v>0</v>
      </c>
      <c r="BJ31" s="142">
        <f>BE31*U31*0.4</f>
        <v>0</v>
      </c>
      <c r="BK31" s="32">
        <f>Y31*BE31</f>
        <v>1687.5</v>
      </c>
      <c r="BL31" s="25">
        <v>5436</v>
      </c>
      <c r="BM31" s="25">
        <v>5436</v>
      </c>
      <c r="BN31" s="25">
        <v>5436</v>
      </c>
      <c r="BO31" s="25">
        <v>5436</v>
      </c>
      <c r="BP31" s="25">
        <f>BE31*AV31</f>
        <v>0</v>
      </c>
      <c r="BQ31" s="25">
        <f>BE31*AX31</f>
        <v>0</v>
      </c>
      <c r="BR31" s="28"/>
    </row>
    <row r="32" spans="1:70" s="6" customFormat="1" ht="41.25" customHeight="1">
      <c r="A32" s="18">
        <v>29</v>
      </c>
      <c r="B32" s="50" t="s">
        <v>48</v>
      </c>
      <c r="C32" s="44" t="s">
        <v>49</v>
      </c>
      <c r="D32" s="19" t="s">
        <v>50</v>
      </c>
      <c r="E32" s="50" t="s">
        <v>305</v>
      </c>
      <c r="F32" s="52" t="s">
        <v>123</v>
      </c>
      <c r="G32" s="52" t="s">
        <v>123</v>
      </c>
      <c r="H32" s="50">
        <v>300</v>
      </c>
      <c r="I32" s="50">
        <v>1000</v>
      </c>
      <c r="J32" s="22">
        <v>200</v>
      </c>
      <c r="K32" s="22" t="s">
        <v>298</v>
      </c>
      <c r="L32" s="50"/>
      <c r="M32" s="50"/>
      <c r="N32" s="22" t="s">
        <v>383</v>
      </c>
      <c r="O32" s="23" t="s">
        <v>384</v>
      </c>
      <c r="P32" s="18" t="s">
        <v>56</v>
      </c>
      <c r="Q32" s="29">
        <v>2785</v>
      </c>
      <c r="R32" s="29">
        <f>6800+1745</f>
        <v>8545</v>
      </c>
      <c r="S32" s="25">
        <v>34580</v>
      </c>
      <c r="T32" s="26"/>
      <c r="U32" s="26"/>
      <c r="V32" s="25">
        <v>34580</v>
      </c>
      <c r="W32" s="26"/>
      <c r="X32" s="25">
        <v>20748</v>
      </c>
      <c r="Y32" s="29">
        <f>T32+R32+Q32+U32+W32</f>
        <v>11330</v>
      </c>
      <c r="Z32" s="27">
        <v>172900</v>
      </c>
      <c r="AA32" s="26"/>
      <c r="AB32" s="26"/>
      <c r="AC32" s="26"/>
      <c r="AD32" s="26"/>
      <c r="AE32" s="26"/>
      <c r="AF32" s="26"/>
      <c r="AG32" s="57">
        <v>155</v>
      </c>
      <c r="AH32" s="26"/>
      <c r="AI32" s="26"/>
      <c r="AJ32" s="57">
        <v>48</v>
      </c>
      <c r="AK32" s="57">
        <v>127</v>
      </c>
      <c r="AL32" s="41">
        <f>SUM(AM32:AS32)</f>
        <v>4468</v>
      </c>
      <c r="AM32" s="41">
        <v>2785</v>
      </c>
      <c r="AN32" s="49">
        <v>792</v>
      </c>
      <c r="AO32" s="49">
        <f>876+15</f>
        <v>891</v>
      </c>
      <c r="AP32" s="49"/>
      <c r="AQ32" s="49"/>
      <c r="AR32" s="49"/>
      <c r="AS32" s="49"/>
      <c r="AT32" s="43"/>
      <c r="AU32" s="43"/>
      <c r="AV32" s="41">
        <f>379+80+286+280+280+280+280+290+270+270+90</f>
        <v>2785</v>
      </c>
      <c r="AW32" s="26"/>
      <c r="AX32" s="43"/>
      <c r="AY32" s="29">
        <f>Y32-AV32-AX32-AW32</f>
        <v>8545</v>
      </c>
      <c r="AZ32" s="29">
        <f ca="1">'Layout for shadhous 1&amp;2'!F53</f>
        <v>8545</v>
      </c>
      <c r="BA32" s="26">
        <f>AL32+AG32+AA32+AT32</f>
        <v>4623</v>
      </c>
      <c r="BB32" s="30">
        <f>BD32+AO32+AG32</f>
        <v>7753</v>
      </c>
      <c r="BC32" s="30">
        <f>BD32+AS32</f>
        <v>6707</v>
      </c>
      <c r="BD32" s="30">
        <f>IF(BA32&gt;0,Y32-BA32,BA32)</f>
        <v>6707</v>
      </c>
      <c r="BE32" s="31">
        <v>11</v>
      </c>
      <c r="BF32" s="30" t="s">
        <v>76</v>
      </c>
      <c r="BG32" s="31">
        <f>BE32*Q32</f>
        <v>30635</v>
      </c>
      <c r="BH32" s="31">
        <f>BE32*R32*0.4</f>
        <v>37598</v>
      </c>
      <c r="BI32" s="142">
        <f>BE32*T32</f>
        <v>0</v>
      </c>
      <c r="BJ32" s="142">
        <f>BE32*U32*0.4</f>
        <v>0</v>
      </c>
      <c r="BK32" s="32">
        <f>Y32*BE32</f>
        <v>124630</v>
      </c>
      <c r="BL32" s="25">
        <v>20748</v>
      </c>
      <c r="BM32" s="25">
        <v>20748</v>
      </c>
      <c r="BN32" s="25">
        <v>20748</v>
      </c>
      <c r="BO32" s="25">
        <v>20748</v>
      </c>
      <c r="BP32" s="25">
        <f>BE32*AV32</f>
        <v>30635</v>
      </c>
      <c r="BQ32" s="25">
        <f>BE32*AX32</f>
        <v>0</v>
      </c>
      <c r="BR32" s="43"/>
    </row>
    <row r="33" spans="1:70" s="6" customFormat="1" ht="41.25" customHeight="1">
      <c r="A33" s="18">
        <v>30</v>
      </c>
      <c r="B33" s="18" t="s">
        <v>191</v>
      </c>
      <c r="C33" s="18" t="s">
        <v>192</v>
      </c>
      <c r="D33" s="21" t="s">
        <v>50</v>
      </c>
      <c r="E33" s="22" t="s">
        <v>336</v>
      </c>
      <c r="F33" s="48" t="s">
        <v>98</v>
      </c>
      <c r="G33" s="48" t="s">
        <v>239</v>
      </c>
      <c r="H33" s="22">
        <v>200</v>
      </c>
      <c r="I33" s="22">
        <v>1000</v>
      </c>
      <c r="J33" s="22"/>
      <c r="K33" s="22"/>
      <c r="L33" s="22"/>
      <c r="M33" s="22"/>
      <c r="N33" s="22" t="s">
        <v>386</v>
      </c>
      <c r="O33" s="23" t="s">
        <v>387</v>
      </c>
      <c r="P33" s="18" t="s">
        <v>56</v>
      </c>
      <c r="Q33" s="29">
        <v>90</v>
      </c>
      <c r="R33" s="72"/>
      <c r="S33" s="25">
        <v>200</v>
      </c>
      <c r="T33" s="26"/>
      <c r="U33" s="26"/>
      <c r="V33" s="25">
        <v>200</v>
      </c>
      <c r="W33" s="26"/>
      <c r="X33" s="25">
        <v>60</v>
      </c>
      <c r="Y33" s="29">
        <f>T33+R33+Q33+U33+W33</f>
        <v>90</v>
      </c>
      <c r="Z33" s="27">
        <v>1000</v>
      </c>
      <c r="AA33" s="26"/>
      <c r="AB33" s="26"/>
      <c r="AC33" s="26"/>
      <c r="AD33" s="26"/>
      <c r="AE33" s="26"/>
      <c r="AF33" s="26"/>
      <c r="AG33" s="57">
        <f>SUBTOTAL(9,AH33:AK33)</f>
        <v>20</v>
      </c>
      <c r="AH33" s="26"/>
      <c r="AI33" s="57">
        <v>20</v>
      </c>
      <c r="AJ33" s="26"/>
      <c r="AK33" s="26"/>
      <c r="AL33" s="26">
        <f>SUM(AM33:AS33)</f>
        <v>0</v>
      </c>
      <c r="AM33" s="26"/>
      <c r="AN33" s="26"/>
      <c r="AO33" s="26"/>
      <c r="AP33" s="26"/>
      <c r="AQ33" s="26"/>
      <c r="AR33" s="26"/>
      <c r="AS33" s="26"/>
      <c r="AT33" s="28"/>
      <c r="AU33" s="28"/>
      <c r="AV33" s="26"/>
      <c r="AW33" s="26"/>
      <c r="AX33" s="28"/>
      <c r="AY33" s="29">
        <f>Y33-AV33-AX33-AW33</f>
        <v>90</v>
      </c>
      <c r="AZ33" s="29">
        <f ca="1">'Layout for shadhous 1&amp;2'!C66</f>
        <v>90</v>
      </c>
      <c r="BA33" s="26">
        <f>AL33+AG33+AA33+AT33</f>
        <v>20</v>
      </c>
      <c r="BB33" s="30">
        <f>BD33+AO33+AG33</f>
        <v>90</v>
      </c>
      <c r="BC33" s="30">
        <f>BD33+AS33</f>
        <v>70</v>
      </c>
      <c r="BD33" s="30">
        <f>IF(BA33&gt;0,Y33-BA33,BA33)</f>
        <v>70</v>
      </c>
      <c r="BE33" s="31">
        <v>11</v>
      </c>
      <c r="BF33" s="30" t="s">
        <v>76</v>
      </c>
      <c r="BG33" s="31">
        <f>BE33*Q33</f>
        <v>990</v>
      </c>
      <c r="BH33" s="31">
        <f>BE33*R33*0.4</f>
        <v>0</v>
      </c>
      <c r="BI33" s="142">
        <f>BE33*T33</f>
        <v>0</v>
      </c>
      <c r="BJ33" s="142">
        <f>BE33*U33*0.4</f>
        <v>0</v>
      </c>
      <c r="BK33" s="32">
        <f>Y33*BE33</f>
        <v>990</v>
      </c>
      <c r="BL33" s="25">
        <v>60</v>
      </c>
      <c r="BM33" s="25">
        <v>60</v>
      </c>
      <c r="BN33" s="25">
        <v>60</v>
      </c>
      <c r="BO33" s="25">
        <v>60</v>
      </c>
      <c r="BP33" s="25">
        <f>BE33*AV33</f>
        <v>0</v>
      </c>
      <c r="BQ33" s="25">
        <f>BE33*AX33</f>
        <v>0</v>
      </c>
      <c r="BR33" s="28"/>
    </row>
    <row r="34" spans="1:70" s="6" customFormat="1" ht="41.25" customHeight="1">
      <c r="A34" s="18">
        <v>31</v>
      </c>
      <c r="B34" s="50" t="s">
        <v>48</v>
      </c>
      <c r="C34" s="44" t="s">
        <v>49</v>
      </c>
      <c r="D34" s="19" t="s">
        <v>50</v>
      </c>
      <c r="E34" s="50" t="s">
        <v>392</v>
      </c>
      <c r="F34" s="52" t="s">
        <v>123</v>
      </c>
      <c r="G34" s="52" t="s">
        <v>123</v>
      </c>
      <c r="H34" s="50"/>
      <c r="I34" s="50"/>
      <c r="J34" s="22">
        <v>140</v>
      </c>
      <c r="K34" s="22" t="s">
        <v>199</v>
      </c>
      <c r="L34" s="50"/>
      <c r="M34" s="50"/>
      <c r="N34" s="22" t="s">
        <v>393</v>
      </c>
      <c r="O34" s="23" t="s">
        <v>394</v>
      </c>
      <c r="P34" s="18" t="s">
        <v>56</v>
      </c>
      <c r="Q34" s="29">
        <v>15380</v>
      </c>
      <c r="R34" s="72"/>
      <c r="S34" s="25">
        <v>15780</v>
      </c>
      <c r="T34" s="63">
        <f>6835+2005</f>
        <v>8840</v>
      </c>
      <c r="U34" s="26"/>
      <c r="V34" s="25">
        <v>15780</v>
      </c>
      <c r="W34" s="26"/>
      <c r="X34" s="25">
        <v>9468</v>
      </c>
      <c r="Y34" s="29">
        <f>T34+R34+Q34+U34+W34</f>
        <v>24220</v>
      </c>
      <c r="Z34" s="27">
        <v>78900</v>
      </c>
      <c r="AA34" s="64">
        <f>SUBTOTAL(9,AB34:AF34)</f>
        <v>84</v>
      </c>
      <c r="AB34" s="64">
        <v>57</v>
      </c>
      <c r="AC34" s="26"/>
      <c r="AD34" s="64">
        <v>5</v>
      </c>
      <c r="AE34" s="26"/>
      <c r="AF34" s="64">
        <v>22</v>
      </c>
      <c r="AG34" s="57">
        <v>153</v>
      </c>
      <c r="AH34" s="57">
        <v>7</v>
      </c>
      <c r="AI34" s="57">
        <v>21</v>
      </c>
      <c r="AJ34" s="57">
        <v>25</v>
      </c>
      <c r="AK34" s="57">
        <v>100</v>
      </c>
      <c r="AL34" s="41">
        <f>SUM(AM34:AS34)</f>
        <v>19403</v>
      </c>
      <c r="AM34" s="41">
        <v>8258</v>
      </c>
      <c r="AN34" s="49">
        <v>1540</v>
      </c>
      <c r="AO34" s="49">
        <f>9104+501</f>
        <v>9605</v>
      </c>
      <c r="AP34" s="49"/>
      <c r="AQ34" s="49"/>
      <c r="AR34" s="49"/>
      <c r="AS34" s="49"/>
      <c r="AT34" s="43"/>
      <c r="AU34" s="43"/>
      <c r="AV34" s="41">
        <f>3050+1562+2300+1346</f>
        <v>8258</v>
      </c>
      <c r="AW34" s="64">
        <f>57+5</f>
        <v>62</v>
      </c>
      <c r="AX34" s="43"/>
      <c r="AY34" s="29">
        <f>Y34-AV34-AX34-AW34</f>
        <v>15900</v>
      </c>
      <c r="AZ34" s="29">
        <f ca="1">'Layout for shadhous 1&amp;2'!C67</f>
        <v>15900</v>
      </c>
      <c r="BA34" s="26">
        <f>AL34+AG34+AA34+AT34</f>
        <v>19640</v>
      </c>
      <c r="BB34" s="30">
        <f>BD34+AO34+AG34</f>
        <v>14338</v>
      </c>
      <c r="BC34" s="30">
        <f>BD34+AS34</f>
        <v>4580</v>
      </c>
      <c r="BD34" s="30">
        <f>IF(BA34&gt;0,Y34-BA34,BA34)</f>
        <v>4580</v>
      </c>
      <c r="BE34" s="31">
        <v>8</v>
      </c>
      <c r="BF34" s="30" t="s">
        <v>76</v>
      </c>
      <c r="BG34" s="31">
        <f>BE34*Q34</f>
        <v>123040</v>
      </c>
      <c r="BH34" s="31">
        <f>BE34*R34*0.4</f>
        <v>0</v>
      </c>
      <c r="BI34" s="142">
        <f>BE34*T34</f>
        <v>70720</v>
      </c>
      <c r="BJ34" s="142">
        <f>BE34*U34*0.4</f>
        <v>0</v>
      </c>
      <c r="BK34" s="32">
        <f>Y34*BE34</f>
        <v>193760</v>
      </c>
      <c r="BL34" s="25">
        <v>9468</v>
      </c>
      <c r="BM34" s="25">
        <v>9468</v>
      </c>
      <c r="BN34" s="25">
        <v>9468</v>
      </c>
      <c r="BO34" s="25">
        <v>9468</v>
      </c>
      <c r="BP34" s="25">
        <f>BE34*AV34</f>
        <v>66064</v>
      </c>
      <c r="BQ34" s="25">
        <f>BE34*AX34</f>
        <v>0</v>
      </c>
      <c r="BR34" s="43">
        <f>64+165+264</f>
        <v>493</v>
      </c>
    </row>
    <row r="35" spans="1:70" s="6" customFormat="1" ht="41.25" customHeight="1">
      <c r="A35" s="18">
        <v>32</v>
      </c>
      <c r="B35" s="18" t="s">
        <v>48</v>
      </c>
      <c r="C35" s="18" t="s">
        <v>49</v>
      </c>
      <c r="D35" s="19" t="s">
        <v>50</v>
      </c>
      <c r="E35" s="22" t="s">
        <v>392</v>
      </c>
      <c r="F35" s="52" t="s">
        <v>123</v>
      </c>
      <c r="G35" s="52" t="s">
        <v>123</v>
      </c>
      <c r="H35" s="22">
        <v>200</v>
      </c>
      <c r="I35" s="22">
        <v>300</v>
      </c>
      <c r="J35" s="22"/>
      <c r="K35" s="22"/>
      <c r="L35" s="22"/>
      <c r="M35" s="22"/>
      <c r="N35" s="22" t="s">
        <v>395</v>
      </c>
      <c r="O35" s="23" t="s">
        <v>396</v>
      </c>
      <c r="P35" s="38" t="s">
        <v>56</v>
      </c>
      <c r="Q35" s="29">
        <v>600</v>
      </c>
      <c r="R35" s="72"/>
      <c r="S35" s="40">
        <v>600</v>
      </c>
      <c r="T35" s="63">
        <v>420</v>
      </c>
      <c r="U35" s="26"/>
      <c r="V35" s="25">
        <v>600</v>
      </c>
      <c r="W35" s="26"/>
      <c r="X35" s="25">
        <v>360</v>
      </c>
      <c r="Y35" s="29">
        <f>T35+R35+Q35+U35+W35</f>
        <v>1020</v>
      </c>
      <c r="Z35" s="27">
        <v>3000</v>
      </c>
      <c r="AA35" s="26"/>
      <c r="AB35" s="26"/>
      <c r="AC35" s="26"/>
      <c r="AD35" s="26"/>
      <c r="AE35" s="26"/>
      <c r="AF35" s="26"/>
      <c r="AG35" s="57">
        <f>SUBTOTAL(9,AH35:AK35)</f>
        <v>778</v>
      </c>
      <c r="AH35" s="26"/>
      <c r="AI35" s="57">
        <v>778</v>
      </c>
      <c r="AJ35" s="26"/>
      <c r="AK35" s="26"/>
      <c r="AL35" s="26">
        <f>SUM(AM35:AS35)</f>
        <v>0</v>
      </c>
      <c r="AM35" s="26"/>
      <c r="AN35" s="26"/>
      <c r="AO35" s="26"/>
      <c r="AP35" s="26"/>
      <c r="AQ35" s="26"/>
      <c r="AR35" s="26"/>
      <c r="AS35" s="26"/>
      <c r="AT35" s="28"/>
      <c r="AU35" s="28"/>
      <c r="AV35" s="26"/>
      <c r="AW35" s="26"/>
      <c r="AX35" s="28"/>
      <c r="AY35" s="29">
        <f>Y35-AV35-AX35-AW35</f>
        <v>1020</v>
      </c>
      <c r="AZ35" s="29">
        <f>'Layout for shadhous 3'!E62</f>
        <v>1020</v>
      </c>
      <c r="BA35" s="26">
        <f>AL35+AG35+AA35+AT35</f>
        <v>778</v>
      </c>
      <c r="BB35" s="30">
        <f>BD35+AO35+AG35</f>
        <v>1020</v>
      </c>
      <c r="BC35" s="30">
        <f>BD35+AS35</f>
        <v>242</v>
      </c>
      <c r="BD35" s="30">
        <f>IF(BA35&gt;0,Y35-BA35,BA35)</f>
        <v>242</v>
      </c>
      <c r="BE35" s="31">
        <v>11</v>
      </c>
      <c r="BF35" s="30" t="s">
        <v>76</v>
      </c>
      <c r="BG35" s="31">
        <f>BE35*Q35</f>
        <v>6600</v>
      </c>
      <c r="BH35" s="31">
        <f>BE35*R35*0.4</f>
        <v>0</v>
      </c>
      <c r="BI35" s="142">
        <f>BE35*T35</f>
        <v>4620</v>
      </c>
      <c r="BJ35" s="142">
        <f>BE35*U35*0.4</f>
        <v>0</v>
      </c>
      <c r="BK35" s="32">
        <f>Y35*BE35</f>
        <v>11220</v>
      </c>
      <c r="BL35" s="25">
        <v>360</v>
      </c>
      <c r="BM35" s="25">
        <v>360</v>
      </c>
      <c r="BN35" s="25">
        <v>360</v>
      </c>
      <c r="BO35" s="25">
        <v>360</v>
      </c>
      <c r="BP35" s="25">
        <f>BE35*AV35</f>
        <v>0</v>
      </c>
      <c r="BQ35" s="25">
        <f>BE35*AX35</f>
        <v>0</v>
      </c>
      <c r="BR35" s="28"/>
    </row>
    <row r="36" spans="1:70" s="6" customFormat="1" ht="41.25" customHeight="1">
      <c r="A36" s="18">
        <v>33</v>
      </c>
      <c r="B36" s="18" t="s">
        <v>58</v>
      </c>
      <c r="C36" s="18" t="s">
        <v>259</v>
      </c>
      <c r="D36" s="21" t="s">
        <v>50</v>
      </c>
      <c r="E36" s="22" t="s">
        <v>401</v>
      </c>
      <c r="F36" s="52" t="s">
        <v>123</v>
      </c>
      <c r="G36" s="21" t="s">
        <v>52</v>
      </c>
      <c r="H36" s="22">
        <v>120</v>
      </c>
      <c r="I36" s="22">
        <v>200</v>
      </c>
      <c r="J36" s="22"/>
      <c r="K36" s="22"/>
      <c r="L36" s="22" t="s">
        <v>52</v>
      </c>
      <c r="M36" s="22"/>
      <c r="N36" s="22" t="s">
        <v>402</v>
      </c>
      <c r="O36" s="23" t="s">
        <v>403</v>
      </c>
      <c r="P36" s="18" t="s">
        <v>56</v>
      </c>
      <c r="Q36" s="72"/>
      <c r="R36" s="72"/>
      <c r="S36" s="25">
        <v>260</v>
      </c>
      <c r="T36" s="26"/>
      <c r="U36" s="26"/>
      <c r="V36" s="25">
        <v>260</v>
      </c>
      <c r="W36" s="26"/>
      <c r="X36" s="25">
        <v>156</v>
      </c>
      <c r="Y36" s="26">
        <f>T36+R36+Q36+U36+W36</f>
        <v>0</v>
      </c>
      <c r="Z36" s="27">
        <v>1300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>
        <f>SUM(AM36:AS36)</f>
        <v>0</v>
      </c>
      <c r="AM36" s="26"/>
      <c r="AN36" s="26"/>
      <c r="AO36" s="26"/>
      <c r="AP36" s="26"/>
      <c r="AQ36" s="26"/>
      <c r="AR36" s="26"/>
      <c r="AS36" s="26"/>
      <c r="AT36" s="28"/>
      <c r="AU36" s="28"/>
      <c r="AV36" s="26"/>
      <c r="AW36" s="26"/>
      <c r="AX36" s="28"/>
      <c r="AY36" s="72">
        <f>Y36-AV36-AX36-AW36</f>
        <v>0</v>
      </c>
      <c r="AZ36" s="68"/>
      <c r="BA36" s="26">
        <f>AL36+AG36+AA36+AT36</f>
        <v>0</v>
      </c>
      <c r="BB36" s="30">
        <f>BD36+AO36+AG36</f>
        <v>0</v>
      </c>
      <c r="BC36" s="30">
        <f>BD36+AS36</f>
        <v>0</v>
      </c>
      <c r="BD36" s="30">
        <f>IF(BA36&gt;0,Y36-BA36,BA36)</f>
        <v>0</v>
      </c>
      <c r="BE36" s="31">
        <v>7</v>
      </c>
      <c r="BF36" s="30" t="s">
        <v>76</v>
      </c>
      <c r="BG36" s="31">
        <f>BE36*Q36</f>
        <v>0</v>
      </c>
      <c r="BH36" s="31">
        <f>BE36*R36*0.4</f>
        <v>0</v>
      </c>
      <c r="BI36" s="142">
        <f>BE36*T36</f>
        <v>0</v>
      </c>
      <c r="BJ36" s="142">
        <f>BE36*U36*0.4</f>
        <v>0</v>
      </c>
      <c r="BK36" s="32">
        <f>Y36*BE36</f>
        <v>0</v>
      </c>
      <c r="BL36" s="25">
        <v>156</v>
      </c>
      <c r="BM36" s="25">
        <v>156</v>
      </c>
      <c r="BN36" s="25">
        <v>156</v>
      </c>
      <c r="BO36" s="25">
        <v>156</v>
      </c>
      <c r="BP36" s="25">
        <f>BE36*AV36</f>
        <v>0</v>
      </c>
      <c r="BQ36" s="25">
        <f>BE36*AX36</f>
        <v>0</v>
      </c>
      <c r="BR36" s="28"/>
    </row>
    <row r="37" spans="1:70" s="6" customFormat="1" ht="41.25" customHeight="1">
      <c r="A37" s="18">
        <v>34</v>
      </c>
      <c r="B37" s="18" t="s">
        <v>191</v>
      </c>
      <c r="C37" s="18" t="s">
        <v>192</v>
      </c>
      <c r="D37" s="21" t="s">
        <v>50</v>
      </c>
      <c r="E37" s="22" t="s">
        <v>404</v>
      </c>
      <c r="F37" s="21" t="s">
        <v>52</v>
      </c>
      <c r="G37" s="21" t="s">
        <v>52</v>
      </c>
      <c r="H37" s="22">
        <v>120</v>
      </c>
      <c r="I37" s="22">
        <v>200</v>
      </c>
      <c r="J37" s="22"/>
      <c r="K37" s="22"/>
      <c r="L37" s="22" t="s">
        <v>52</v>
      </c>
      <c r="M37" s="22"/>
      <c r="N37" s="22" t="s">
        <v>405</v>
      </c>
      <c r="O37" s="23" t="s">
        <v>406</v>
      </c>
      <c r="P37" s="18" t="s">
        <v>56</v>
      </c>
      <c r="Q37" s="72"/>
      <c r="R37" s="72"/>
      <c r="S37" s="25">
        <v>260</v>
      </c>
      <c r="T37" s="26"/>
      <c r="U37" s="26"/>
      <c r="V37" s="25">
        <v>260</v>
      </c>
      <c r="W37" s="26"/>
      <c r="X37" s="25">
        <v>156</v>
      </c>
      <c r="Y37" s="26">
        <f>T37+R37+Q37+U37+W37</f>
        <v>0</v>
      </c>
      <c r="Z37" s="27">
        <v>1300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>
        <f>SUM(AM37:AS37)</f>
        <v>0</v>
      </c>
      <c r="AM37" s="26"/>
      <c r="AN37" s="26"/>
      <c r="AO37" s="26"/>
      <c r="AP37" s="26"/>
      <c r="AQ37" s="26"/>
      <c r="AR37" s="26"/>
      <c r="AS37" s="26"/>
      <c r="AT37" s="28"/>
      <c r="AU37" s="28"/>
      <c r="AV37" s="26"/>
      <c r="AW37" s="26"/>
      <c r="AX37" s="28"/>
      <c r="AY37" s="72">
        <f>Y37-AV37-AX37-AW37</f>
        <v>0</v>
      </c>
      <c r="AZ37" s="68"/>
      <c r="BA37" s="26">
        <f>AL37+AG37+AA37+AT37</f>
        <v>0</v>
      </c>
      <c r="BB37" s="30">
        <f>BD37+AO37+AG37</f>
        <v>0</v>
      </c>
      <c r="BC37" s="30">
        <f>BD37+AS37</f>
        <v>0</v>
      </c>
      <c r="BD37" s="30">
        <f>IF(BA37&gt;0,Y37-BA37,BA37)</f>
        <v>0</v>
      </c>
      <c r="BE37" s="31">
        <v>7</v>
      </c>
      <c r="BF37" s="30" t="s">
        <v>76</v>
      </c>
      <c r="BG37" s="31">
        <f>BE37*Q37</f>
        <v>0</v>
      </c>
      <c r="BH37" s="31">
        <f>BE37*R37*0.4</f>
        <v>0</v>
      </c>
      <c r="BI37" s="142">
        <f>BE37*T37</f>
        <v>0</v>
      </c>
      <c r="BJ37" s="142">
        <f>BE37*U37*0.4</f>
        <v>0</v>
      </c>
      <c r="BK37" s="32">
        <f>Y37*BE37</f>
        <v>0</v>
      </c>
      <c r="BL37" s="25">
        <v>156</v>
      </c>
      <c r="BM37" s="25">
        <v>156</v>
      </c>
      <c r="BN37" s="25">
        <v>156</v>
      </c>
      <c r="BO37" s="25">
        <v>156</v>
      </c>
      <c r="BP37" s="25">
        <f>BE37*AV37</f>
        <v>0</v>
      </c>
      <c r="BQ37" s="25">
        <f>BE37*AX37</f>
        <v>0</v>
      </c>
      <c r="BR37" s="28"/>
    </row>
    <row r="38" spans="1:70" s="6" customFormat="1" ht="41.25" customHeight="1">
      <c r="A38" s="18">
        <v>35</v>
      </c>
      <c r="B38" s="18" t="s">
        <v>191</v>
      </c>
      <c r="C38" s="18" t="s">
        <v>192</v>
      </c>
      <c r="D38" s="21" t="s">
        <v>50</v>
      </c>
      <c r="E38" s="22" t="s">
        <v>404</v>
      </c>
      <c r="F38" s="52" t="s">
        <v>123</v>
      </c>
      <c r="G38" s="52" t="s">
        <v>123</v>
      </c>
      <c r="H38" s="22">
        <v>150</v>
      </c>
      <c r="I38" s="22">
        <v>250</v>
      </c>
      <c r="J38" s="22"/>
      <c r="K38" s="22"/>
      <c r="L38" s="22"/>
      <c r="M38" s="22"/>
      <c r="N38" s="22" t="s">
        <v>407</v>
      </c>
      <c r="O38" s="23"/>
      <c r="P38" s="38" t="s">
        <v>56</v>
      </c>
      <c r="Q38" s="29">
        <v>280</v>
      </c>
      <c r="R38" s="72"/>
      <c r="S38" s="40">
        <v>1820</v>
      </c>
      <c r="T38" s="26"/>
      <c r="U38" s="26"/>
      <c r="V38" s="25">
        <v>1820</v>
      </c>
      <c r="W38" s="26"/>
      <c r="X38" s="25">
        <v>1092</v>
      </c>
      <c r="Y38" s="29">
        <f>T38+R38+Q38+U38+W38</f>
        <v>280</v>
      </c>
      <c r="Z38" s="27">
        <v>9100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>
        <f>SUM(AM38:AS38)</f>
        <v>0</v>
      </c>
      <c r="AM38" s="26"/>
      <c r="AN38" s="26"/>
      <c r="AO38" s="26"/>
      <c r="AP38" s="26"/>
      <c r="AQ38" s="26"/>
      <c r="AR38" s="26"/>
      <c r="AS38" s="26"/>
      <c r="AT38" s="28"/>
      <c r="AU38" s="28"/>
      <c r="AV38" s="26"/>
      <c r="AW38" s="26"/>
      <c r="AX38" s="28"/>
      <c r="AY38" s="29">
        <f>Y38-AV38-AX38-AW38</f>
        <v>280</v>
      </c>
      <c r="AZ38" s="29">
        <f>'Layout for trees right'!E26</f>
        <v>280</v>
      </c>
      <c r="BA38" s="26">
        <f>AL38+AG38+AA38+AT38</f>
        <v>0</v>
      </c>
      <c r="BB38" s="30">
        <f>BD38+AO38+AG38</f>
        <v>0</v>
      </c>
      <c r="BC38" s="30">
        <f>BD38+AS38</f>
        <v>0</v>
      </c>
      <c r="BD38" s="30">
        <f>IF(BA38&gt;0,Y38-BA38,BA38)</f>
        <v>0</v>
      </c>
      <c r="BE38" s="31">
        <v>7</v>
      </c>
      <c r="BF38" s="30" t="s">
        <v>76</v>
      </c>
      <c r="BG38" s="31">
        <f>BE38*Q38</f>
        <v>1960</v>
      </c>
      <c r="BH38" s="31">
        <f>BE38*R38*0.4</f>
        <v>0</v>
      </c>
      <c r="BI38" s="142">
        <f>BE38*T38</f>
        <v>0</v>
      </c>
      <c r="BJ38" s="142">
        <f>BE38*U38*0.4</f>
        <v>0</v>
      </c>
      <c r="BK38" s="32">
        <f>Y38*BE38</f>
        <v>1960</v>
      </c>
      <c r="BL38" s="25">
        <v>1092</v>
      </c>
      <c r="BM38" s="25">
        <v>1092</v>
      </c>
      <c r="BN38" s="25">
        <v>1092</v>
      </c>
      <c r="BO38" s="25">
        <v>1092</v>
      </c>
      <c r="BP38" s="25">
        <f>BE38*AV38</f>
        <v>0</v>
      </c>
      <c r="BQ38" s="25">
        <f>BE38*AX38</f>
        <v>0</v>
      </c>
      <c r="BR38" s="28"/>
    </row>
    <row r="39" spans="1:70" s="6" customFormat="1" ht="41.25" customHeight="1">
      <c r="A39" s="18">
        <v>36</v>
      </c>
      <c r="B39" s="50" t="s">
        <v>66</v>
      </c>
      <c r="C39" s="44" t="s">
        <v>139</v>
      </c>
      <c r="D39" s="56" t="s">
        <v>50</v>
      </c>
      <c r="E39" s="50" t="s">
        <v>250</v>
      </c>
      <c r="F39" s="52" t="s">
        <v>123</v>
      </c>
      <c r="G39" s="52" t="s">
        <v>123</v>
      </c>
      <c r="H39" s="50">
        <v>200</v>
      </c>
      <c r="I39" s="50">
        <v>300</v>
      </c>
      <c r="J39" s="50"/>
      <c r="K39" s="50"/>
      <c r="L39" s="50"/>
      <c r="M39" s="50"/>
      <c r="N39" s="22" t="s">
        <v>408</v>
      </c>
      <c r="O39" s="23"/>
      <c r="P39" s="18" t="s">
        <v>56</v>
      </c>
      <c r="Q39" s="29">
        <v>460</v>
      </c>
      <c r="R39" s="72"/>
      <c r="S39" s="25">
        <v>460</v>
      </c>
      <c r="T39" s="29">
        <v>460</v>
      </c>
      <c r="U39" s="26"/>
      <c r="V39" s="25">
        <v>460</v>
      </c>
      <c r="W39" s="29">
        <v>160</v>
      </c>
      <c r="X39" s="25">
        <v>276</v>
      </c>
      <c r="Y39" s="29">
        <f>T39+R39+Q39+U39+W39</f>
        <v>1080</v>
      </c>
      <c r="Z39" s="27">
        <v>2300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>
        <f>SUM(AM39:AS39)</f>
        <v>0</v>
      </c>
      <c r="AM39" s="26"/>
      <c r="AN39" s="26"/>
      <c r="AO39" s="26"/>
      <c r="AP39" s="26"/>
      <c r="AQ39" s="26"/>
      <c r="AR39" s="26"/>
      <c r="AS39" s="26"/>
      <c r="AT39" s="28"/>
      <c r="AU39" s="28"/>
      <c r="AV39" s="26"/>
      <c r="AW39" s="26"/>
      <c r="AX39" s="28"/>
      <c r="AY39" s="29">
        <f>Y39-AV39-AX39-AW39</f>
        <v>1080</v>
      </c>
      <c r="AZ39" s="29">
        <f>'Layout for shadhous 3'!E66</f>
        <v>1080</v>
      </c>
      <c r="BA39" s="26">
        <f>AL39+AG39+AA39+AT39</f>
        <v>0</v>
      </c>
      <c r="BB39" s="30">
        <f>BD39+AO39+AG39</f>
        <v>0</v>
      </c>
      <c r="BC39" s="30">
        <f>BD39+AS39</f>
        <v>0</v>
      </c>
      <c r="BD39" s="30">
        <f>IF(BA39&gt;0,Y39-BA39,BA39)</f>
        <v>0</v>
      </c>
      <c r="BE39" s="31">
        <v>30</v>
      </c>
      <c r="BF39" s="30" t="s">
        <v>76</v>
      </c>
      <c r="BG39" s="31">
        <f>BE39*Q39</f>
        <v>13800</v>
      </c>
      <c r="BH39" s="31">
        <f>BE39*R39*0.4</f>
        <v>0</v>
      </c>
      <c r="BI39" s="142">
        <f>BE39*T39</f>
        <v>13800</v>
      </c>
      <c r="BJ39" s="142">
        <f>BE39*U39*0.4</f>
        <v>0</v>
      </c>
      <c r="BK39" s="32">
        <f>Y39*BE39</f>
        <v>32400</v>
      </c>
      <c r="BL39" s="25">
        <v>276</v>
      </c>
      <c r="BM39" s="25">
        <v>276</v>
      </c>
      <c r="BN39" s="25">
        <v>276</v>
      </c>
      <c r="BO39" s="25">
        <v>276</v>
      </c>
      <c r="BP39" s="25">
        <f>BE39*AV39</f>
        <v>0</v>
      </c>
      <c r="BQ39" s="25">
        <f>BE39*AX39</f>
        <v>0</v>
      </c>
      <c r="BR39" s="28">
        <f>82+210</f>
        <v>292</v>
      </c>
    </row>
    <row r="40" spans="1:70" s="6" customFormat="1" ht="41.25" customHeight="1">
      <c r="A40" s="18">
        <v>37</v>
      </c>
      <c r="B40" s="18" t="s">
        <v>48</v>
      </c>
      <c r="C40" s="18" t="s">
        <v>49</v>
      </c>
      <c r="D40" s="19" t="s">
        <v>50</v>
      </c>
      <c r="E40" s="22" t="s">
        <v>409</v>
      </c>
      <c r="F40" s="52" t="s">
        <v>123</v>
      </c>
      <c r="G40" s="52" t="s">
        <v>123</v>
      </c>
      <c r="H40" s="22"/>
      <c r="I40" s="22"/>
      <c r="J40" s="22"/>
      <c r="K40" s="22"/>
      <c r="L40" s="22" t="s">
        <v>119</v>
      </c>
      <c r="M40" s="22"/>
      <c r="N40" s="22" t="s">
        <v>410</v>
      </c>
      <c r="O40" s="23"/>
      <c r="P40" s="18" t="s">
        <v>56</v>
      </c>
      <c r="Q40" s="72"/>
      <c r="R40" s="72"/>
      <c r="S40" s="25">
        <v>440</v>
      </c>
      <c r="T40" s="26"/>
      <c r="U40" s="26"/>
      <c r="V40" s="25">
        <v>440</v>
      </c>
      <c r="W40" s="26"/>
      <c r="X40" s="25">
        <v>264</v>
      </c>
      <c r="Y40" s="26">
        <f>T40+R40+Q40+U40+W40</f>
        <v>0</v>
      </c>
      <c r="Z40" s="27">
        <v>2200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41">
        <f>SUM(AM40:AS40)</f>
        <v>64</v>
      </c>
      <c r="AM40" s="26"/>
      <c r="AN40" s="49">
        <v>0</v>
      </c>
      <c r="AO40" s="49">
        <v>64</v>
      </c>
      <c r="AP40" s="49"/>
      <c r="AQ40" s="49"/>
      <c r="AR40" s="49"/>
      <c r="AS40" s="49"/>
      <c r="AT40" s="43"/>
      <c r="AU40" s="43"/>
      <c r="AV40" s="26"/>
      <c r="AW40" s="26"/>
      <c r="AX40" s="43"/>
      <c r="AY40" s="72">
        <f>Y40-AV40-AX40-AW40</f>
        <v>0</v>
      </c>
      <c r="AZ40" s="68"/>
      <c r="BA40" s="26">
        <f>AL40+AG40+AA40+AT40</f>
        <v>64</v>
      </c>
      <c r="BB40" s="30">
        <f>BD40+AO40+AG40</f>
        <v>0</v>
      </c>
      <c r="BC40" s="30">
        <f>BD40+AS40</f>
        <v>-64</v>
      </c>
      <c r="BD40" s="30">
        <f>IF(BA40&gt;0,Y40-BA40,BA40)</f>
        <v>-64</v>
      </c>
      <c r="BE40" s="31">
        <v>11</v>
      </c>
      <c r="BF40" s="30" t="s">
        <v>76</v>
      </c>
      <c r="BG40" s="31">
        <f>BE40*Q40</f>
        <v>0</v>
      </c>
      <c r="BH40" s="31">
        <f>BE40*R40*0.4</f>
        <v>0</v>
      </c>
      <c r="BI40" s="31">
        <f>BE40*T40</f>
        <v>0</v>
      </c>
      <c r="BJ40" s="31">
        <f>BE40*U40*0.4</f>
        <v>0</v>
      </c>
      <c r="BK40" s="32">
        <f>Y40*BE40</f>
        <v>0</v>
      </c>
      <c r="BL40" s="25">
        <v>264</v>
      </c>
      <c r="BM40" s="25">
        <v>264</v>
      </c>
      <c r="BN40" s="25">
        <v>264</v>
      </c>
      <c r="BO40" s="25">
        <v>264</v>
      </c>
      <c r="BP40" s="25">
        <f>BE40*AV40</f>
        <v>0</v>
      </c>
      <c r="BQ40" s="25">
        <f>BE40*AX40</f>
        <v>0</v>
      </c>
      <c r="BR40" s="43"/>
    </row>
    <row r="41" spans="1:70" s="6" customFormat="1" ht="41.25" customHeight="1">
      <c r="A41" s="18">
        <v>38</v>
      </c>
      <c r="B41" s="50" t="s">
        <v>66</v>
      </c>
      <c r="C41" s="65" t="s">
        <v>225</v>
      </c>
      <c r="D41" s="56" t="s">
        <v>50</v>
      </c>
      <c r="E41" s="50" t="s">
        <v>413</v>
      </c>
      <c r="F41" s="34" t="s">
        <v>128</v>
      </c>
      <c r="G41" s="34" t="s">
        <v>128</v>
      </c>
      <c r="H41" s="50"/>
      <c r="I41" s="50"/>
      <c r="J41" s="50"/>
      <c r="K41" s="50"/>
      <c r="L41" s="50"/>
      <c r="M41" s="50"/>
      <c r="N41" s="22" t="s">
        <v>414</v>
      </c>
      <c r="O41" s="23" t="s">
        <v>415</v>
      </c>
      <c r="P41" s="18" t="s">
        <v>56</v>
      </c>
      <c r="Q41" s="29">
        <v>1880</v>
      </c>
      <c r="R41" s="72"/>
      <c r="S41" s="25">
        <v>1880</v>
      </c>
      <c r="T41" s="73">
        <v>1880</v>
      </c>
      <c r="U41" s="26"/>
      <c r="V41" s="25">
        <v>1880</v>
      </c>
      <c r="W41" s="29">
        <f>2740+380</f>
        <v>3120</v>
      </c>
      <c r="X41" s="25">
        <v>1128</v>
      </c>
      <c r="Y41" s="29">
        <f>T41+R41+Q41+U41+W41</f>
        <v>6880</v>
      </c>
      <c r="Z41" s="27">
        <v>9400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f>SUM(AM41:AS41)</f>
        <v>0</v>
      </c>
      <c r="AM41" s="26"/>
      <c r="AN41" s="26"/>
      <c r="AO41" s="26"/>
      <c r="AP41" s="26"/>
      <c r="AQ41" s="26"/>
      <c r="AR41" s="26"/>
      <c r="AS41" s="26"/>
      <c r="AT41" s="28"/>
      <c r="AU41" s="28"/>
      <c r="AV41" s="26"/>
      <c r="AW41" s="26"/>
      <c r="AX41" s="28"/>
      <c r="AY41" s="29">
        <f>Y41-AV41-AX41-AW41</f>
        <v>6880</v>
      </c>
      <c r="AZ41" s="29">
        <f ca="1">'Layout for shadhous 1&amp;2'!C72</f>
        <v>6880</v>
      </c>
      <c r="BA41" s="26">
        <f>AL41+AG41+AA41+AT41</f>
        <v>0</v>
      </c>
      <c r="BB41" s="30">
        <f>BD41+AO41+AG41</f>
        <v>0</v>
      </c>
      <c r="BC41" s="30">
        <f>BD41+AS41</f>
        <v>0</v>
      </c>
      <c r="BD41" s="30">
        <f>IF(BA41&gt;0,Y41-BA41,BA41)</f>
        <v>0</v>
      </c>
      <c r="BE41" s="31">
        <v>22</v>
      </c>
      <c r="BF41" s="30" t="s">
        <v>76</v>
      </c>
      <c r="BG41" s="31">
        <f>BE41*Q41</f>
        <v>41360</v>
      </c>
      <c r="BH41" s="31">
        <f>BE41*R41*0.4</f>
        <v>0</v>
      </c>
      <c r="BI41" s="142">
        <f>BE41*T41</f>
        <v>41360</v>
      </c>
      <c r="BJ41" s="142">
        <f>BE41*U41*0.4</f>
        <v>0</v>
      </c>
      <c r="BK41" s="32">
        <f>Y41*BE41</f>
        <v>151360</v>
      </c>
      <c r="BL41" s="25">
        <v>1128</v>
      </c>
      <c r="BM41" s="25">
        <v>1128</v>
      </c>
      <c r="BN41" s="25">
        <v>1128</v>
      </c>
      <c r="BO41" s="25">
        <v>1128</v>
      </c>
      <c r="BP41" s="25">
        <f>BE41*AV41</f>
        <v>0</v>
      </c>
      <c r="BQ41" s="25">
        <f>BE41*AX41</f>
        <v>0</v>
      </c>
      <c r="BR41" s="28">
        <v>205</v>
      </c>
    </row>
    <row r="42" spans="1:70" s="6" customFormat="1" ht="41.25" customHeight="1">
      <c r="A42" s="18">
        <v>39</v>
      </c>
      <c r="B42" s="18" t="s">
        <v>58</v>
      </c>
      <c r="C42" s="18" t="s">
        <v>259</v>
      </c>
      <c r="D42" s="21" t="s">
        <v>50</v>
      </c>
      <c r="E42" s="22" t="s">
        <v>401</v>
      </c>
      <c r="F42" s="52" t="s">
        <v>123</v>
      </c>
      <c r="G42" s="52" t="s">
        <v>123</v>
      </c>
      <c r="H42" s="22">
        <v>300</v>
      </c>
      <c r="I42" s="22">
        <v>500</v>
      </c>
      <c r="J42" s="22">
        <v>320</v>
      </c>
      <c r="K42" s="22" t="s">
        <v>699</v>
      </c>
      <c r="L42" s="22" t="s">
        <v>119</v>
      </c>
      <c r="M42" s="22"/>
      <c r="N42" s="22" t="s">
        <v>419</v>
      </c>
      <c r="O42" s="23" t="s">
        <v>420</v>
      </c>
      <c r="P42" s="38" t="s">
        <v>56</v>
      </c>
      <c r="Q42" s="72"/>
      <c r="R42" s="72"/>
      <c r="S42" s="40">
        <v>380</v>
      </c>
      <c r="T42" s="26"/>
      <c r="U42" s="26"/>
      <c r="V42" s="25">
        <v>380</v>
      </c>
      <c r="W42" s="26"/>
      <c r="X42" s="25">
        <v>228</v>
      </c>
      <c r="Y42" s="26">
        <f>T42+R42+Q42+U42+W42</f>
        <v>0</v>
      </c>
      <c r="Z42" s="27">
        <v>1900</v>
      </c>
      <c r="AA42" s="26"/>
      <c r="AB42" s="26"/>
      <c r="AC42" s="26"/>
      <c r="AD42" s="26"/>
      <c r="AE42" s="26"/>
      <c r="AF42" s="26"/>
      <c r="AG42" s="57">
        <f>SUBTOTAL(9,AH42:AK42)</f>
        <v>209</v>
      </c>
      <c r="AH42" s="26"/>
      <c r="AI42" s="57">
        <v>209</v>
      </c>
      <c r="AJ42" s="26"/>
      <c r="AK42" s="26"/>
      <c r="AL42" s="26">
        <f>SUM(AM42:AS42)</f>
        <v>0</v>
      </c>
      <c r="AM42" s="26"/>
      <c r="AN42" s="26"/>
      <c r="AO42" s="26"/>
      <c r="AP42" s="26"/>
      <c r="AQ42" s="26"/>
      <c r="AR42" s="26"/>
      <c r="AS42" s="26"/>
      <c r="AT42" s="28"/>
      <c r="AU42" s="28"/>
      <c r="AV42" s="26"/>
      <c r="AW42" s="26"/>
      <c r="AX42" s="28"/>
      <c r="AY42" s="72">
        <f>Y42-AV42-AX42-AW42</f>
        <v>0</v>
      </c>
      <c r="AZ42" s="68"/>
      <c r="BA42" s="26">
        <f>AL42+AG42+AA42+AT42</f>
        <v>209</v>
      </c>
      <c r="BB42" s="30">
        <f>BD42+AO42+AG42</f>
        <v>0</v>
      </c>
      <c r="BC42" s="30">
        <f>BD42+AS42</f>
        <v>-209</v>
      </c>
      <c r="BD42" s="30">
        <f>IF(BA42&gt;0,Y42-BA42,BA42)</f>
        <v>-209</v>
      </c>
      <c r="BE42" s="31">
        <v>11</v>
      </c>
      <c r="BF42" s="30" t="s">
        <v>76</v>
      </c>
      <c r="BG42" s="31">
        <f>BE42*Q42</f>
        <v>0</v>
      </c>
      <c r="BH42" s="31">
        <f>BE42*R42*0.4</f>
        <v>0</v>
      </c>
      <c r="BI42" s="142">
        <f>BE42*T42</f>
        <v>0</v>
      </c>
      <c r="BJ42" s="142">
        <f>BE42*U42*0.4</f>
        <v>0</v>
      </c>
      <c r="BK42" s="32">
        <f>Y42*BE42</f>
        <v>0</v>
      </c>
      <c r="BL42" s="25">
        <v>228</v>
      </c>
      <c r="BM42" s="25">
        <v>228</v>
      </c>
      <c r="BN42" s="25">
        <v>228</v>
      </c>
      <c r="BO42" s="25">
        <v>228</v>
      </c>
      <c r="BP42" s="25">
        <f>BE42*AV42</f>
        <v>0</v>
      </c>
      <c r="BQ42" s="25">
        <f>BE42*AX42</f>
        <v>0</v>
      </c>
      <c r="BR42" s="28"/>
    </row>
    <row r="43" spans="1:70" s="6" customFormat="1" ht="41.25" customHeight="1">
      <c r="A43" s="18">
        <v>40</v>
      </c>
      <c r="B43" s="18" t="s">
        <v>58</v>
      </c>
      <c r="C43" s="18" t="s">
        <v>259</v>
      </c>
      <c r="D43" s="21" t="s">
        <v>50</v>
      </c>
      <c r="E43" s="22" t="s">
        <v>421</v>
      </c>
      <c r="F43" s="52" t="s">
        <v>123</v>
      </c>
      <c r="G43" s="52" t="s">
        <v>123</v>
      </c>
      <c r="H43" s="22">
        <v>300</v>
      </c>
      <c r="I43" s="22">
        <v>500</v>
      </c>
      <c r="J43" s="22"/>
      <c r="K43" s="22"/>
      <c r="L43" s="22"/>
      <c r="M43" s="22"/>
      <c r="N43" s="22" t="s">
        <v>422</v>
      </c>
      <c r="O43" s="23" t="s">
        <v>423</v>
      </c>
      <c r="P43" s="38" t="s">
        <v>56</v>
      </c>
      <c r="Q43" s="29">
        <v>8</v>
      </c>
      <c r="R43" s="72"/>
      <c r="S43" s="40">
        <v>300</v>
      </c>
      <c r="T43" s="26"/>
      <c r="U43" s="26"/>
      <c r="V43" s="25">
        <v>300</v>
      </c>
      <c r="W43" s="26"/>
      <c r="X43" s="25">
        <v>180</v>
      </c>
      <c r="Y43" s="29">
        <f>T43+R43+Q43+U43+W43</f>
        <v>8</v>
      </c>
      <c r="Z43" s="27">
        <v>1500</v>
      </c>
      <c r="AA43" s="26"/>
      <c r="AB43" s="26"/>
      <c r="AC43" s="26"/>
      <c r="AD43" s="26"/>
      <c r="AE43" s="26"/>
      <c r="AF43" s="26"/>
      <c r="AG43" s="57">
        <f>SUBTOTAL(9,AH43:AK43)</f>
        <v>89</v>
      </c>
      <c r="AH43" s="26"/>
      <c r="AI43" s="57">
        <v>89</v>
      </c>
      <c r="AJ43" s="26"/>
      <c r="AK43" s="26"/>
      <c r="AL43" s="26">
        <f>SUM(AM43:AS43)</f>
        <v>0</v>
      </c>
      <c r="AM43" s="26"/>
      <c r="AN43" s="26"/>
      <c r="AO43" s="26"/>
      <c r="AP43" s="26"/>
      <c r="AQ43" s="26"/>
      <c r="AR43" s="26"/>
      <c r="AS43" s="26"/>
      <c r="AT43" s="28"/>
      <c r="AU43" s="28"/>
      <c r="AV43" s="26"/>
      <c r="AW43" s="26"/>
      <c r="AX43" s="28"/>
      <c r="AY43" s="29">
        <f>Y43-AV43-AX43-AW43</f>
        <v>8</v>
      </c>
      <c r="AZ43" s="29">
        <f>'Layout for shadhous 3'!E64</f>
        <v>0</v>
      </c>
      <c r="BA43" s="26">
        <f>AL43+AG43+AA43+AT43</f>
        <v>89</v>
      </c>
      <c r="BB43" s="30">
        <f>BD43+AO43+AG43</f>
        <v>8</v>
      </c>
      <c r="BC43" s="30">
        <f>BD43+AS43</f>
        <v>-81</v>
      </c>
      <c r="BD43" s="30">
        <f>IF(BA43&gt;0,Y43-BA43,BA43)</f>
        <v>-81</v>
      </c>
      <c r="BE43" s="31">
        <v>11</v>
      </c>
      <c r="BF43" s="30" t="s">
        <v>76</v>
      </c>
      <c r="BG43" s="31">
        <f>BE43*Q43</f>
        <v>88</v>
      </c>
      <c r="BH43" s="31">
        <f>BE43*R43*0.4</f>
        <v>0</v>
      </c>
      <c r="BI43" s="142">
        <f>BE43*T43</f>
        <v>0</v>
      </c>
      <c r="BJ43" s="142">
        <f>BE43*U43*0.4</f>
        <v>0</v>
      </c>
      <c r="BK43" s="32">
        <f>Y43*BE43</f>
        <v>88</v>
      </c>
      <c r="BL43" s="25">
        <v>180</v>
      </c>
      <c r="BM43" s="25">
        <v>180</v>
      </c>
      <c r="BN43" s="25">
        <v>180</v>
      </c>
      <c r="BO43" s="25">
        <v>180</v>
      </c>
      <c r="BP43" s="25">
        <f>BE43*AV43</f>
        <v>0</v>
      </c>
      <c r="BQ43" s="25">
        <f>BE43*AX43</f>
        <v>0</v>
      </c>
      <c r="BR43" s="28"/>
    </row>
    <row r="44" spans="1:70" s="6" customFormat="1" ht="41.25" customHeight="1">
      <c r="A44" s="18">
        <v>41</v>
      </c>
      <c r="B44" s="18" t="s">
        <v>191</v>
      </c>
      <c r="C44" s="18" t="s">
        <v>426</v>
      </c>
      <c r="D44" s="36" t="s">
        <v>68</v>
      </c>
      <c r="E44" s="22" t="s">
        <v>427</v>
      </c>
      <c r="F44" s="36" t="s">
        <v>70</v>
      </c>
      <c r="G44" s="36" t="s">
        <v>70</v>
      </c>
      <c r="H44" s="22"/>
      <c r="I44" s="37" t="s">
        <v>104</v>
      </c>
      <c r="J44" s="37"/>
      <c r="K44" s="37"/>
      <c r="L44" s="22"/>
      <c r="M44" s="23" t="s">
        <v>428</v>
      </c>
      <c r="N44" s="22" t="s">
        <v>429</v>
      </c>
      <c r="O44" s="23" t="s">
        <v>430</v>
      </c>
      <c r="P44" s="18" t="s">
        <v>56</v>
      </c>
      <c r="Q44" s="72"/>
      <c r="R44" s="29">
        <v>30</v>
      </c>
      <c r="S44" s="25">
        <v>30</v>
      </c>
      <c r="T44" s="26"/>
      <c r="U44" s="39">
        <v>18</v>
      </c>
      <c r="V44" s="25">
        <v>18</v>
      </c>
      <c r="W44" s="29">
        <v>6</v>
      </c>
      <c r="X44" s="25">
        <v>18</v>
      </c>
      <c r="Y44" s="29">
        <f>T44+R44+Q44+U44+W44</f>
        <v>54</v>
      </c>
      <c r="Z44" s="27">
        <v>150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>
        <f>SUM(AM44:AS44)</f>
        <v>0</v>
      </c>
      <c r="AM44" s="26"/>
      <c r="AN44" s="26"/>
      <c r="AO44" s="26"/>
      <c r="AP44" s="26"/>
      <c r="AQ44" s="26"/>
      <c r="AR44" s="26"/>
      <c r="AS44" s="26"/>
      <c r="AT44" s="28"/>
      <c r="AU44" s="28"/>
      <c r="AV44" s="26"/>
      <c r="AW44" s="26"/>
      <c r="AX44" s="28"/>
      <c r="AY44" s="29">
        <f>Y44-AV44-AX44-AW44</f>
        <v>54</v>
      </c>
      <c r="AZ44" s="29">
        <f>'Layout for trees left'!U19</f>
        <v>54</v>
      </c>
      <c r="BA44" s="26">
        <f>AL44+AG44+AA44+AT44</f>
        <v>0</v>
      </c>
      <c r="BB44" s="30">
        <f>BD44+AO44+AG44</f>
        <v>0</v>
      </c>
      <c r="BC44" s="30">
        <f>BD44+AS44</f>
        <v>0</v>
      </c>
      <c r="BD44" s="30">
        <f>IF(BA44&gt;0,Y44-BA44,BA44)</f>
        <v>0</v>
      </c>
      <c r="BE44" s="31">
        <v>154</v>
      </c>
      <c r="BF44" s="30" t="s">
        <v>76</v>
      </c>
      <c r="BG44" s="31">
        <f>BE44*Q44</f>
        <v>0</v>
      </c>
      <c r="BH44" s="31">
        <f>BE44*R44*0.4</f>
        <v>1848</v>
      </c>
      <c r="BI44" s="142">
        <f>BE44*T44</f>
        <v>0</v>
      </c>
      <c r="BJ44" s="142">
        <f>BE44*U44*0.4</f>
        <v>1108.8</v>
      </c>
      <c r="BK44" s="32">
        <f>Y44*BE44</f>
        <v>8316</v>
      </c>
      <c r="BL44" s="25">
        <v>18</v>
      </c>
      <c r="BM44" s="25">
        <v>18</v>
      </c>
      <c r="BN44" s="25">
        <v>18</v>
      </c>
      <c r="BO44" s="25">
        <v>30</v>
      </c>
      <c r="BP44" s="25">
        <f>BE44*AV44</f>
        <v>0</v>
      </c>
      <c r="BQ44" s="25">
        <f>BE44*AX44</f>
        <v>0</v>
      </c>
      <c r="BR44" s="28"/>
    </row>
    <row r="45" spans="1:70" s="6" customFormat="1" ht="41.25" customHeight="1">
      <c r="A45" s="18">
        <v>42</v>
      </c>
      <c r="B45" s="18" t="s">
        <v>66</v>
      </c>
      <c r="C45" s="18" t="s">
        <v>139</v>
      </c>
      <c r="D45" s="56" t="s">
        <v>50</v>
      </c>
      <c r="E45" s="22" t="s">
        <v>417</v>
      </c>
      <c r="F45" s="60" t="s">
        <v>155</v>
      </c>
      <c r="G45" s="21" t="s">
        <v>52</v>
      </c>
      <c r="H45" s="22">
        <v>200</v>
      </c>
      <c r="I45" s="22">
        <v>1000</v>
      </c>
      <c r="J45" s="22"/>
      <c r="K45" s="22"/>
      <c r="L45" s="22" t="s">
        <v>52</v>
      </c>
      <c r="M45" s="22"/>
      <c r="N45" s="22" t="s">
        <v>441</v>
      </c>
      <c r="O45" s="23" t="s">
        <v>440</v>
      </c>
      <c r="P45" s="18" t="s">
        <v>56</v>
      </c>
      <c r="Q45" s="72"/>
      <c r="R45" s="72"/>
      <c r="S45" s="25">
        <v>920</v>
      </c>
      <c r="T45" s="26"/>
      <c r="U45" s="26"/>
      <c r="V45" s="25">
        <v>920</v>
      </c>
      <c r="W45" s="26"/>
      <c r="X45" s="25">
        <v>552</v>
      </c>
      <c r="Y45" s="26">
        <f>T45+R45+Q45+U45+W45</f>
        <v>0</v>
      </c>
      <c r="Z45" s="27">
        <v>4600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>
        <f>SUM(AM45:AS45)</f>
        <v>0</v>
      </c>
      <c r="AM45" s="26"/>
      <c r="AN45" s="26"/>
      <c r="AO45" s="26"/>
      <c r="AP45" s="26"/>
      <c r="AQ45" s="26"/>
      <c r="AR45" s="26"/>
      <c r="AS45" s="26"/>
      <c r="AT45" s="28"/>
      <c r="AU45" s="28"/>
      <c r="AV45" s="26"/>
      <c r="AW45" s="26"/>
      <c r="AX45" s="28"/>
      <c r="AY45" s="72">
        <f>Y45-AV45-AX45-AW45</f>
        <v>0</v>
      </c>
      <c r="AZ45" s="68"/>
      <c r="BA45" s="26">
        <f>AL45+AG45+AA45+AT45</f>
        <v>0</v>
      </c>
      <c r="BB45" s="30">
        <f>BD45+AO45+AG45</f>
        <v>0</v>
      </c>
      <c r="BC45" s="30">
        <f>BD45+AS45</f>
        <v>0</v>
      </c>
      <c r="BD45" s="30">
        <f>IF(BA45&gt;0,Y45-BA45,BA45)</f>
        <v>0</v>
      </c>
      <c r="BE45" s="31">
        <v>30</v>
      </c>
      <c r="BF45" s="30" t="s">
        <v>76</v>
      </c>
      <c r="BG45" s="31">
        <f>BE45*Q45</f>
        <v>0</v>
      </c>
      <c r="BH45" s="31">
        <f>BE45*R45*0.4</f>
        <v>0</v>
      </c>
      <c r="BI45" s="142">
        <f>BE45*T45</f>
        <v>0</v>
      </c>
      <c r="BJ45" s="142">
        <f>BE45*U45*0.4</f>
        <v>0</v>
      </c>
      <c r="BK45" s="32">
        <f>Y45*BE45</f>
        <v>0</v>
      </c>
      <c r="BL45" s="25">
        <v>552</v>
      </c>
      <c r="BM45" s="25">
        <v>552</v>
      </c>
      <c r="BN45" s="25">
        <v>552</v>
      </c>
      <c r="BO45" s="25">
        <v>552</v>
      </c>
      <c r="BP45" s="25">
        <f>BE45*AV45</f>
        <v>0</v>
      </c>
      <c r="BQ45" s="25">
        <f>BE45*AX45</f>
        <v>0</v>
      </c>
      <c r="BR45" s="28">
        <v>83</v>
      </c>
    </row>
    <row r="46" spans="1:70" s="6" customFormat="1" ht="41.25" customHeight="1">
      <c r="A46" s="18">
        <v>43</v>
      </c>
      <c r="B46" s="18" t="s">
        <v>48</v>
      </c>
      <c r="C46" s="18" t="s">
        <v>49</v>
      </c>
      <c r="D46" s="19" t="s">
        <v>50</v>
      </c>
      <c r="E46" s="22" t="s">
        <v>409</v>
      </c>
      <c r="F46" s="52" t="s">
        <v>123</v>
      </c>
      <c r="G46" s="21" t="s">
        <v>52</v>
      </c>
      <c r="H46" s="22">
        <v>200</v>
      </c>
      <c r="I46" s="22">
        <v>500</v>
      </c>
      <c r="J46" s="22"/>
      <c r="K46" s="22"/>
      <c r="L46" s="22" t="s">
        <v>52</v>
      </c>
      <c r="M46" s="22"/>
      <c r="N46" s="22" t="s">
        <v>466</v>
      </c>
      <c r="O46" s="23" t="s">
        <v>467</v>
      </c>
      <c r="P46" s="18" t="s">
        <v>56</v>
      </c>
      <c r="Q46" s="72"/>
      <c r="R46" s="72"/>
      <c r="S46" s="25">
        <v>260</v>
      </c>
      <c r="T46" s="26"/>
      <c r="U46" s="26"/>
      <c r="V46" s="25">
        <v>260</v>
      </c>
      <c r="W46" s="26"/>
      <c r="X46" s="25">
        <v>156</v>
      </c>
      <c r="Y46" s="26">
        <f>T46+R46+Q46+U46+W46</f>
        <v>0</v>
      </c>
      <c r="Z46" s="27">
        <v>1300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>
        <f>SUM(AM46:AS46)</f>
        <v>0</v>
      </c>
      <c r="AM46" s="26"/>
      <c r="AN46" s="26"/>
      <c r="AO46" s="26"/>
      <c r="AP46" s="26"/>
      <c r="AQ46" s="26"/>
      <c r="AR46" s="26"/>
      <c r="AS46" s="26"/>
      <c r="AT46" s="28"/>
      <c r="AU46" s="28"/>
      <c r="AV46" s="26"/>
      <c r="AW46" s="26"/>
      <c r="AX46" s="28"/>
      <c r="AY46" s="72">
        <f>Y46-AV46-AX46-AW46</f>
        <v>0</v>
      </c>
      <c r="AZ46" s="68"/>
      <c r="BA46" s="26">
        <f>AL46+AG46+AA46+AT46</f>
        <v>0</v>
      </c>
      <c r="BB46" s="30">
        <f>BD46+AO46+AG46</f>
        <v>0</v>
      </c>
      <c r="BC46" s="30">
        <f>BD46+AS46</f>
        <v>0</v>
      </c>
      <c r="BD46" s="30">
        <f>IF(BA46&gt;0,Y46-BA46,BA46)</f>
        <v>0</v>
      </c>
      <c r="BE46" s="31">
        <v>8</v>
      </c>
      <c r="BF46" s="30" t="s">
        <v>76</v>
      </c>
      <c r="BG46" s="31">
        <f>BE46*Q46</f>
        <v>0</v>
      </c>
      <c r="BH46" s="31">
        <f>BE46*R46*0.4</f>
        <v>0</v>
      </c>
      <c r="BI46" s="142">
        <f>BE46*T46</f>
        <v>0</v>
      </c>
      <c r="BJ46" s="142">
        <f>BE46*U46*0.4</f>
        <v>0</v>
      </c>
      <c r="BK46" s="32">
        <f>Y46*BE46</f>
        <v>0</v>
      </c>
      <c r="BL46" s="25">
        <v>156</v>
      </c>
      <c r="BM46" s="25">
        <v>156</v>
      </c>
      <c r="BN46" s="25">
        <v>156</v>
      </c>
      <c r="BO46" s="25">
        <v>156</v>
      </c>
      <c r="BP46" s="25">
        <f>BE46*AV46</f>
        <v>0</v>
      </c>
      <c r="BQ46" s="25">
        <f>BE46*AX46</f>
        <v>0</v>
      </c>
      <c r="BR46" s="28"/>
    </row>
    <row r="47" spans="1:70" s="6" customFormat="1" ht="41.25" customHeight="1">
      <c r="A47" s="18">
        <v>44</v>
      </c>
      <c r="B47" s="18" t="s">
        <v>191</v>
      </c>
      <c r="C47" s="18" t="s">
        <v>192</v>
      </c>
      <c r="D47" s="21" t="s">
        <v>50</v>
      </c>
      <c r="E47" s="22" t="s">
        <v>468</v>
      </c>
      <c r="F47" s="52" t="s">
        <v>123</v>
      </c>
      <c r="G47" s="21" t="s">
        <v>52</v>
      </c>
      <c r="H47" s="22">
        <v>120</v>
      </c>
      <c r="I47" s="22">
        <v>200</v>
      </c>
      <c r="J47" s="22"/>
      <c r="K47" s="22"/>
      <c r="L47" s="22" t="s">
        <v>52</v>
      </c>
      <c r="M47" s="22"/>
      <c r="N47" s="22" t="s">
        <v>469</v>
      </c>
      <c r="O47" s="23" t="s">
        <v>470</v>
      </c>
      <c r="P47" s="18" t="s">
        <v>56</v>
      </c>
      <c r="Q47" s="72"/>
      <c r="R47" s="72"/>
      <c r="S47" s="25">
        <v>260</v>
      </c>
      <c r="T47" s="26"/>
      <c r="U47" s="26"/>
      <c r="V47" s="25">
        <v>260</v>
      </c>
      <c r="W47" s="26"/>
      <c r="X47" s="25">
        <v>156</v>
      </c>
      <c r="Y47" s="26">
        <f>T47+R47+Q47+U47+W47</f>
        <v>0</v>
      </c>
      <c r="Z47" s="27">
        <v>1300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>
        <f>SUM(AM47:AS47)</f>
        <v>0</v>
      </c>
      <c r="AM47" s="26"/>
      <c r="AN47" s="26"/>
      <c r="AO47" s="26"/>
      <c r="AP47" s="26"/>
      <c r="AQ47" s="26"/>
      <c r="AR47" s="26"/>
      <c r="AS47" s="26"/>
      <c r="AT47" s="28"/>
      <c r="AU47" s="28"/>
      <c r="AV47" s="26"/>
      <c r="AW47" s="26"/>
      <c r="AX47" s="28"/>
      <c r="AY47" s="72">
        <f>Y47-AV47-AX47-AW47</f>
        <v>0</v>
      </c>
      <c r="AZ47" s="68"/>
      <c r="BA47" s="26">
        <f>AL47+AG47+AA47+AT47</f>
        <v>0</v>
      </c>
      <c r="BB47" s="30">
        <f>BD47+AO47+AG47</f>
        <v>0</v>
      </c>
      <c r="BC47" s="30">
        <f>BD47+AS47</f>
        <v>0</v>
      </c>
      <c r="BD47" s="30">
        <f>IF(BA47&gt;0,Y47-BA47,BA47)</f>
        <v>0</v>
      </c>
      <c r="BE47" s="31">
        <v>7</v>
      </c>
      <c r="BF47" s="30" t="s">
        <v>76</v>
      </c>
      <c r="BG47" s="31">
        <f>BE47*Q47</f>
        <v>0</v>
      </c>
      <c r="BH47" s="31">
        <f>BE47*R47*0.4</f>
        <v>0</v>
      </c>
      <c r="BI47" s="31">
        <f>BE47*T47</f>
        <v>0</v>
      </c>
      <c r="BJ47" s="31">
        <f>BE47*U47*0.4</f>
        <v>0</v>
      </c>
      <c r="BK47" s="32">
        <f>Y47*BE47</f>
        <v>0</v>
      </c>
      <c r="BL47" s="25">
        <v>156</v>
      </c>
      <c r="BM47" s="25">
        <v>156</v>
      </c>
      <c r="BN47" s="25">
        <v>156</v>
      </c>
      <c r="BO47" s="25">
        <v>156</v>
      </c>
      <c r="BP47" s="25">
        <f>BE47*AV47</f>
        <v>0</v>
      </c>
      <c r="BQ47" s="25">
        <f>BE47*AX47</f>
        <v>0</v>
      </c>
      <c r="BR47" s="28"/>
    </row>
    <row r="48" spans="1:70" s="6" customFormat="1" ht="41.25" customHeight="1">
      <c r="A48" s="18">
        <v>45</v>
      </c>
      <c r="B48" s="18" t="s">
        <v>58</v>
      </c>
      <c r="C48" s="18" t="s">
        <v>259</v>
      </c>
      <c r="D48" s="21" t="s">
        <v>50</v>
      </c>
      <c r="E48" s="22" t="s">
        <v>421</v>
      </c>
      <c r="F48" s="52" t="s">
        <v>123</v>
      </c>
      <c r="G48" s="34" t="s">
        <v>128</v>
      </c>
      <c r="H48" s="22">
        <v>200</v>
      </c>
      <c r="I48" s="22">
        <v>500</v>
      </c>
      <c r="J48" s="22"/>
      <c r="K48" s="22"/>
      <c r="L48" s="22"/>
      <c r="M48" s="22"/>
      <c r="N48" s="22" t="s">
        <v>473</v>
      </c>
      <c r="O48" s="23"/>
      <c r="P48" s="38" t="s">
        <v>56</v>
      </c>
      <c r="Q48" s="29">
        <v>70</v>
      </c>
      <c r="R48" s="72"/>
      <c r="S48" s="40">
        <v>220</v>
      </c>
      <c r="T48" s="26"/>
      <c r="U48" s="26"/>
      <c r="V48" s="25">
        <v>220</v>
      </c>
      <c r="W48" s="26"/>
      <c r="X48" s="25">
        <v>132</v>
      </c>
      <c r="Y48" s="29">
        <f>T48+R48+Q48+U48+W48</f>
        <v>70</v>
      </c>
      <c r="Z48" s="27">
        <v>1100</v>
      </c>
      <c r="AA48" s="26"/>
      <c r="AB48" s="26"/>
      <c r="AC48" s="26"/>
      <c r="AD48" s="26"/>
      <c r="AE48" s="26"/>
      <c r="AF48" s="26"/>
      <c r="AG48" s="57">
        <f>SUBTOTAL(9,AH48:AK48)</f>
        <v>52</v>
      </c>
      <c r="AH48" s="57">
        <v>52</v>
      </c>
      <c r="AI48" s="26"/>
      <c r="AJ48" s="26"/>
      <c r="AK48" s="26"/>
      <c r="AL48" s="26">
        <f>SUM(AM48:AS48)</f>
        <v>0</v>
      </c>
      <c r="AM48" s="26"/>
      <c r="AN48" s="26"/>
      <c r="AO48" s="26"/>
      <c r="AP48" s="26"/>
      <c r="AQ48" s="26"/>
      <c r="AR48" s="26"/>
      <c r="AS48" s="26"/>
      <c r="AT48" s="28"/>
      <c r="AU48" s="28"/>
      <c r="AV48" s="26"/>
      <c r="AW48" s="26"/>
      <c r="AX48" s="28"/>
      <c r="AY48" s="29">
        <f>Y48-AV48-AX48-AW48</f>
        <v>70</v>
      </c>
      <c r="AZ48" s="29">
        <f>'Layout for shadhous 3'!I49</f>
        <v>70</v>
      </c>
      <c r="BA48" s="26">
        <f>AL48+AG48+AA48+AT48</f>
        <v>52</v>
      </c>
      <c r="BB48" s="30">
        <f>BD48+AO48+AG48</f>
        <v>70</v>
      </c>
      <c r="BC48" s="30">
        <f>BD48+AS48</f>
        <v>18</v>
      </c>
      <c r="BD48" s="30">
        <f>IF(BA48&gt;0,Y48-BA48,BA48)</f>
        <v>18</v>
      </c>
      <c r="BE48" s="31">
        <v>7</v>
      </c>
      <c r="BF48" s="30" t="s">
        <v>76</v>
      </c>
      <c r="BG48" s="31">
        <f>BE48*Q48</f>
        <v>490</v>
      </c>
      <c r="BH48" s="31">
        <f>BE48*R48*0.4</f>
        <v>0</v>
      </c>
      <c r="BI48" s="142">
        <f>BE48*T48</f>
        <v>0</v>
      </c>
      <c r="BJ48" s="142">
        <f>BE48*U48*0.4</f>
        <v>0</v>
      </c>
      <c r="BK48" s="32">
        <f>Y48*BE48</f>
        <v>490</v>
      </c>
      <c r="BL48" s="25">
        <v>132</v>
      </c>
      <c r="BM48" s="25">
        <v>132</v>
      </c>
      <c r="BN48" s="25">
        <v>132</v>
      </c>
      <c r="BO48" s="25">
        <v>132</v>
      </c>
      <c r="BP48" s="25">
        <f>BE48*AV48</f>
        <v>0</v>
      </c>
      <c r="BQ48" s="25">
        <f>BE48*AX48</f>
        <v>0</v>
      </c>
      <c r="BR48" s="28"/>
    </row>
    <row r="49" spans="1:70" s="6" customFormat="1" ht="41.25" customHeight="1">
      <c r="A49" s="18">
        <v>46</v>
      </c>
      <c r="B49" s="18" t="s">
        <v>58</v>
      </c>
      <c r="C49" s="18" t="s">
        <v>259</v>
      </c>
      <c r="D49" s="21" t="s">
        <v>50</v>
      </c>
      <c r="E49" s="22" t="s">
        <v>488</v>
      </c>
      <c r="F49" s="52" t="s">
        <v>489</v>
      </c>
      <c r="G49" s="21" t="s">
        <v>52</v>
      </c>
      <c r="H49" s="22"/>
      <c r="I49" s="22"/>
      <c r="J49" s="22"/>
      <c r="K49" s="22"/>
      <c r="L49" s="22" t="s">
        <v>52</v>
      </c>
      <c r="M49" s="22"/>
      <c r="N49" s="22" t="s">
        <v>490</v>
      </c>
      <c r="O49" s="23" t="s">
        <v>491</v>
      </c>
      <c r="P49" s="18" t="s">
        <v>56</v>
      </c>
      <c r="Q49" s="72"/>
      <c r="R49" s="72"/>
      <c r="S49" s="25">
        <v>260</v>
      </c>
      <c r="T49" s="26"/>
      <c r="U49" s="26"/>
      <c r="V49" s="25">
        <v>260</v>
      </c>
      <c r="W49" s="26"/>
      <c r="X49" s="25">
        <v>156</v>
      </c>
      <c r="Y49" s="26">
        <f>T49+R49+Q49+U49+W49</f>
        <v>0</v>
      </c>
      <c r="Z49" s="27">
        <v>1300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>
        <f>SUM(AM49:AS49)</f>
        <v>0</v>
      </c>
      <c r="AM49" s="26"/>
      <c r="AN49" s="26"/>
      <c r="AO49" s="26"/>
      <c r="AP49" s="26"/>
      <c r="AQ49" s="26"/>
      <c r="AR49" s="26"/>
      <c r="AS49" s="26"/>
      <c r="AT49" s="28"/>
      <c r="AU49" s="28"/>
      <c r="AV49" s="26"/>
      <c r="AW49" s="26"/>
      <c r="AX49" s="28"/>
      <c r="AY49" s="72">
        <f>Y49-AV49-AX49-AW49</f>
        <v>0</v>
      </c>
      <c r="AZ49" s="68"/>
      <c r="BA49" s="26">
        <f>AL49+AG49+AA49+AT49</f>
        <v>0</v>
      </c>
      <c r="BB49" s="30">
        <f>BD49+AO49+AG49</f>
        <v>0</v>
      </c>
      <c r="BC49" s="30">
        <f>BD49+AS49</f>
        <v>0</v>
      </c>
      <c r="BD49" s="30">
        <f>IF(BA49&gt;0,Y49-BA49,BA49)</f>
        <v>0</v>
      </c>
      <c r="BE49" s="31">
        <v>7</v>
      </c>
      <c r="BF49" s="30" t="s">
        <v>76</v>
      </c>
      <c r="BG49" s="31">
        <f>BE49*Q49</f>
        <v>0</v>
      </c>
      <c r="BH49" s="31">
        <f>BE49*R49*0.4</f>
        <v>0</v>
      </c>
      <c r="BI49" s="142">
        <f>BE49*T49</f>
        <v>0</v>
      </c>
      <c r="BJ49" s="142">
        <f>BE49*U49*0.4</f>
        <v>0</v>
      </c>
      <c r="BK49" s="32">
        <f>Y49*BE49</f>
        <v>0</v>
      </c>
      <c r="BL49" s="25">
        <v>156</v>
      </c>
      <c r="BM49" s="25">
        <v>156</v>
      </c>
      <c r="BN49" s="25">
        <v>156</v>
      </c>
      <c r="BO49" s="25">
        <v>156</v>
      </c>
      <c r="BP49" s="25">
        <f>BE49*AV49</f>
        <v>0</v>
      </c>
      <c r="BQ49" s="25">
        <f>BE49*AX49</f>
        <v>0</v>
      </c>
      <c r="BR49" s="28"/>
    </row>
    <row r="50" spans="1:70" s="6" customFormat="1" ht="41.25" customHeight="1">
      <c r="A50" s="18">
        <v>47</v>
      </c>
      <c r="B50" s="18" t="s">
        <v>58</v>
      </c>
      <c r="C50" s="18" t="s">
        <v>259</v>
      </c>
      <c r="D50" s="21" t="s">
        <v>50</v>
      </c>
      <c r="E50" s="22" t="s">
        <v>488</v>
      </c>
      <c r="F50" s="34" t="s">
        <v>128</v>
      </c>
      <c r="G50" s="34" t="s">
        <v>128</v>
      </c>
      <c r="H50" s="22"/>
      <c r="I50" s="22"/>
      <c r="J50" s="22"/>
      <c r="K50" s="22"/>
      <c r="L50" s="22"/>
      <c r="M50" s="22"/>
      <c r="N50" s="22" t="s">
        <v>517</v>
      </c>
      <c r="O50" s="23" t="s">
        <v>518</v>
      </c>
      <c r="P50" s="38" t="s">
        <v>56</v>
      </c>
      <c r="Q50" s="29">
        <v>260</v>
      </c>
      <c r="R50" s="72"/>
      <c r="S50" s="40">
        <v>260</v>
      </c>
      <c r="T50" s="63">
        <v>240</v>
      </c>
      <c r="U50" s="26"/>
      <c r="V50" s="25">
        <v>260</v>
      </c>
      <c r="W50" s="26"/>
      <c r="X50" s="25">
        <v>156</v>
      </c>
      <c r="Y50" s="29">
        <f>T50+R50+Q50+U50+W50</f>
        <v>500</v>
      </c>
      <c r="Z50" s="27">
        <v>1300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>
        <f>SUM(AM50:AS50)</f>
        <v>0</v>
      </c>
      <c r="AM50" s="26"/>
      <c r="AN50" s="26"/>
      <c r="AO50" s="26"/>
      <c r="AP50" s="26"/>
      <c r="AQ50" s="26"/>
      <c r="AR50" s="26"/>
      <c r="AS50" s="26"/>
      <c r="AT50" s="28"/>
      <c r="AU50" s="28"/>
      <c r="AV50" s="26"/>
      <c r="AW50" s="26"/>
      <c r="AX50" s="28"/>
      <c r="AY50" s="29">
        <f>Y50-AV50-AX50-AW50</f>
        <v>500</v>
      </c>
      <c r="AZ50" s="29">
        <f ca="1">'Layout for shadhous 1&amp;2'!C71</f>
        <v>500</v>
      </c>
      <c r="BA50" s="26">
        <f>AL50+AG50+AA50+AT50</f>
        <v>0</v>
      </c>
      <c r="BB50" s="30">
        <f>BD50+AO50+AG50</f>
        <v>0</v>
      </c>
      <c r="BC50" s="30">
        <f>BD50+AS50</f>
        <v>0</v>
      </c>
      <c r="BD50" s="30">
        <f>IF(BA50&gt;0,Y50-BA50,BA50)</f>
        <v>0</v>
      </c>
      <c r="BE50" s="31">
        <v>7</v>
      </c>
      <c r="BF50" s="30" t="s">
        <v>76</v>
      </c>
      <c r="BG50" s="31">
        <f>BE50*Q50</f>
        <v>1820</v>
      </c>
      <c r="BH50" s="31">
        <f>BE50*R50*0.4</f>
        <v>0</v>
      </c>
      <c r="BI50" s="31">
        <f>BE50*T50</f>
        <v>1680</v>
      </c>
      <c r="BJ50" s="31">
        <f>BE50*U50*0.4</f>
        <v>0</v>
      </c>
      <c r="BK50" s="32">
        <f>Y50*BE50</f>
        <v>3500</v>
      </c>
      <c r="BL50" s="25">
        <v>156</v>
      </c>
      <c r="BM50" s="25">
        <v>156</v>
      </c>
      <c r="BN50" s="25">
        <v>156</v>
      </c>
      <c r="BO50" s="25">
        <v>156</v>
      </c>
      <c r="BP50" s="25">
        <f>BE50*AV50</f>
        <v>0</v>
      </c>
      <c r="BQ50" s="25">
        <f>BE50*AX50</f>
        <v>0</v>
      </c>
      <c r="BR50" s="28"/>
    </row>
    <row r="51" spans="1:70" s="6" customFormat="1" ht="41.25" customHeight="1">
      <c r="A51" s="18">
        <v>48</v>
      </c>
      <c r="B51" s="50" t="s">
        <v>66</v>
      </c>
      <c r="C51" s="65" t="s">
        <v>225</v>
      </c>
      <c r="D51" s="56" t="s">
        <v>50</v>
      </c>
      <c r="E51" s="50" t="s">
        <v>520</v>
      </c>
      <c r="F51" s="34" t="s">
        <v>128</v>
      </c>
      <c r="G51" s="34" t="s">
        <v>128</v>
      </c>
      <c r="H51" s="50"/>
      <c r="I51" s="50"/>
      <c r="J51" s="50"/>
      <c r="K51" s="50"/>
      <c r="L51" s="50"/>
      <c r="M51" s="50"/>
      <c r="N51" s="76" t="s">
        <v>521</v>
      </c>
      <c r="O51" s="23" t="s">
        <v>522</v>
      </c>
      <c r="P51" s="18" t="s">
        <v>56</v>
      </c>
      <c r="Q51" s="29">
        <v>32880</v>
      </c>
      <c r="R51" s="144"/>
      <c r="S51" s="25">
        <v>32880</v>
      </c>
      <c r="T51" s="29">
        <f>20000-106-4000+300+3735</f>
        <v>19929</v>
      </c>
      <c r="U51" s="26"/>
      <c r="V51" s="25">
        <v>32880</v>
      </c>
      <c r="W51" s="26"/>
      <c r="X51" s="25">
        <v>19728</v>
      </c>
      <c r="Y51" s="29">
        <f>T51+R51+Q51+U51+W51</f>
        <v>52809</v>
      </c>
      <c r="Z51" s="27">
        <v>164400</v>
      </c>
      <c r="AA51" s="64">
        <f>SUBTOTAL(9,AB51:AF51)</f>
        <v>1468</v>
      </c>
      <c r="AB51" s="26"/>
      <c r="AC51" s="64">
        <v>62</v>
      </c>
      <c r="AD51" s="64">
        <v>533</v>
      </c>
      <c r="AE51" s="64">
        <v>286</v>
      </c>
      <c r="AF51" s="64">
        <v>587</v>
      </c>
      <c r="AG51" s="26"/>
      <c r="AH51" s="26"/>
      <c r="AI51" s="26"/>
      <c r="AJ51" s="26"/>
      <c r="AK51" s="26"/>
      <c r="AL51" s="41">
        <f>SUM(AM51:AS51)</f>
        <v>30954</v>
      </c>
      <c r="AM51" s="41">
        <v>18543</v>
      </c>
      <c r="AN51" s="49">
        <v>7261</v>
      </c>
      <c r="AO51" s="49">
        <v>5150</v>
      </c>
      <c r="AP51" s="49"/>
      <c r="AQ51" s="49"/>
      <c r="AR51" s="49"/>
      <c r="AS51" s="49"/>
      <c r="AT51" s="77">
        <f>78+42</f>
        <v>120</v>
      </c>
      <c r="AU51" s="77">
        <v>78</v>
      </c>
      <c r="AV51" s="41">
        <f>1526+139+1200+2000+1700+2400+2443+1600+1400+400+1900+1835</f>
        <v>18543</v>
      </c>
      <c r="AW51" s="64">
        <f>62+286+533</f>
        <v>881</v>
      </c>
      <c r="AX51" s="77">
        <f>42+43</f>
        <v>85</v>
      </c>
      <c r="AY51" s="29">
        <f>Y51-AV51-AX51-AW51</f>
        <v>33300</v>
      </c>
      <c r="AZ51" s="29">
        <f ca="1">'Layout for shadhous 1&amp;2'!C70</f>
        <v>33300</v>
      </c>
      <c r="BA51" s="26">
        <f>AL51+AG51+AA51+AT51</f>
        <v>32542</v>
      </c>
      <c r="BB51" s="30">
        <f>BD51+AO51+AG51</f>
        <v>25417</v>
      </c>
      <c r="BC51" s="30">
        <f>BD51+AS51</f>
        <v>20267</v>
      </c>
      <c r="BD51" s="30">
        <f>IF(BA51&gt;0,Y51-BA51,BA51)</f>
        <v>20267</v>
      </c>
      <c r="BE51" s="31">
        <v>11</v>
      </c>
      <c r="BF51" s="30" t="s">
        <v>76</v>
      </c>
      <c r="BG51" s="31">
        <f>BE51*Q51</f>
        <v>361680</v>
      </c>
      <c r="BH51" s="31">
        <f>BE51*R51*0.4</f>
        <v>0</v>
      </c>
      <c r="BI51" s="31"/>
      <c r="BJ51" s="31"/>
      <c r="BK51" s="32">
        <f>Y51*BE51</f>
        <v>580899</v>
      </c>
      <c r="BL51" s="25">
        <v>19728</v>
      </c>
      <c r="BM51" s="25">
        <v>19728</v>
      </c>
      <c r="BN51" s="25">
        <v>19728</v>
      </c>
      <c r="BO51" s="25">
        <v>19728</v>
      </c>
      <c r="BP51" s="25">
        <f>BE51*AV51</f>
        <v>203973</v>
      </c>
      <c r="BQ51" s="25">
        <f>BE51*AX51</f>
        <v>935</v>
      </c>
      <c r="BR51" s="28"/>
    </row>
    <row r="52" spans="1:70" s="6" customFormat="1" ht="41.25" customHeight="1">
      <c r="A52" s="18">
        <v>49</v>
      </c>
      <c r="B52" s="18" t="s">
        <v>66</v>
      </c>
      <c r="C52" s="65" t="s">
        <v>225</v>
      </c>
      <c r="D52" s="56" t="s">
        <v>50</v>
      </c>
      <c r="E52" s="22" t="s">
        <v>520</v>
      </c>
      <c r="F52" s="34" t="s">
        <v>128</v>
      </c>
      <c r="G52" s="34" t="s">
        <v>128</v>
      </c>
      <c r="H52" s="22"/>
      <c r="I52" s="22"/>
      <c r="J52" s="22"/>
      <c r="K52" s="22"/>
      <c r="L52" s="22"/>
      <c r="M52" s="22"/>
      <c r="N52" s="76" t="s">
        <v>524</v>
      </c>
      <c r="O52" s="23" t="s">
        <v>522</v>
      </c>
      <c r="P52" s="18" t="s">
        <v>56</v>
      </c>
      <c r="Q52" s="29">
        <v>380</v>
      </c>
      <c r="R52" s="72"/>
      <c r="S52" s="25">
        <v>380</v>
      </c>
      <c r="T52" s="29">
        <v>380</v>
      </c>
      <c r="U52" s="26"/>
      <c r="V52" s="25">
        <v>380</v>
      </c>
      <c r="W52" s="29">
        <v>228</v>
      </c>
      <c r="X52" s="25">
        <v>228</v>
      </c>
      <c r="Y52" s="29">
        <f>T52+R52+Q52+U52+W52</f>
        <v>988</v>
      </c>
      <c r="Z52" s="27">
        <v>1900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>
        <f>SUM(AM52:AS52)</f>
        <v>0</v>
      </c>
      <c r="AM52" s="26"/>
      <c r="AN52" s="78"/>
      <c r="AO52" s="78"/>
      <c r="AP52" s="78"/>
      <c r="AQ52" s="78"/>
      <c r="AR52" s="78"/>
      <c r="AS52" s="78"/>
      <c r="AT52" s="68"/>
      <c r="AU52" s="68"/>
      <c r="AV52" s="26"/>
      <c r="AW52" s="26"/>
      <c r="AX52" s="68"/>
      <c r="AY52" s="29">
        <f>Y52-AV52-AX52-AW52</f>
        <v>988</v>
      </c>
      <c r="AZ52" s="68"/>
      <c r="BA52" s="26">
        <f>AL52+AG52+AA52+AT52</f>
        <v>0</v>
      </c>
      <c r="BB52" s="30">
        <f>BD52+AO52+AG52</f>
        <v>0</v>
      </c>
      <c r="BC52" s="30">
        <f>BD52+AS52</f>
        <v>0</v>
      </c>
      <c r="BD52" s="30">
        <f>IF(BA52&gt;0,Y52-BA52,BA52)</f>
        <v>0</v>
      </c>
      <c r="BE52" s="31">
        <v>11</v>
      </c>
      <c r="BF52" s="30" t="s">
        <v>76</v>
      </c>
      <c r="BG52" s="31">
        <f>BE52*Q52</f>
        <v>4180</v>
      </c>
      <c r="BH52" s="31">
        <f>BE52*R52*0.4</f>
        <v>0</v>
      </c>
      <c r="BI52" s="31">
        <f>BE52*T52</f>
        <v>4180</v>
      </c>
      <c r="BJ52" s="31">
        <f>BE52*U52*0.4</f>
        <v>0</v>
      </c>
      <c r="BK52" s="32">
        <f>Y52*BE52</f>
        <v>10868</v>
      </c>
      <c r="BL52" s="25">
        <v>228</v>
      </c>
      <c r="BM52" s="25">
        <v>228</v>
      </c>
      <c r="BN52" s="25">
        <v>228</v>
      </c>
      <c r="BO52" s="25">
        <v>228</v>
      </c>
      <c r="BP52" s="25">
        <f>BE52*AV52</f>
        <v>0</v>
      </c>
      <c r="BQ52" s="25">
        <f>BE52*AX52</f>
        <v>0</v>
      </c>
      <c r="BR52" s="68"/>
    </row>
    <row r="53" spans="1:70" s="6" customFormat="1" ht="41.25" customHeight="1">
      <c r="A53" s="18">
        <v>50</v>
      </c>
      <c r="B53" s="18" t="s">
        <v>58</v>
      </c>
      <c r="C53" s="66" t="s">
        <v>259</v>
      </c>
      <c r="D53" s="21" t="s">
        <v>50</v>
      </c>
      <c r="E53" s="22" t="s">
        <v>531</v>
      </c>
      <c r="F53" s="79" t="s">
        <v>532</v>
      </c>
      <c r="G53" s="34" t="s">
        <v>128</v>
      </c>
      <c r="H53" s="50"/>
      <c r="I53" s="50"/>
      <c r="J53" s="22"/>
      <c r="K53" s="22"/>
      <c r="L53" s="22"/>
      <c r="M53" s="22"/>
      <c r="N53" s="22" t="s">
        <v>533</v>
      </c>
      <c r="O53" s="23"/>
      <c r="P53" s="80" t="s">
        <v>65</v>
      </c>
      <c r="Q53" s="72"/>
      <c r="R53" s="72"/>
      <c r="S53" s="30">
        <v>5000</v>
      </c>
      <c r="T53" s="26"/>
      <c r="U53" s="26"/>
      <c r="V53" s="30">
        <v>5000</v>
      </c>
      <c r="W53" s="153"/>
      <c r="X53" s="25">
        <v>40000</v>
      </c>
      <c r="Y53" s="26">
        <f>T53+R53+Q53+U53+W53</f>
        <v>0</v>
      </c>
      <c r="Z53" s="27">
        <v>35000</v>
      </c>
      <c r="AA53" s="26"/>
      <c r="AB53" s="26"/>
      <c r="AC53" s="26"/>
      <c r="AD53" s="26"/>
      <c r="AE53" s="26"/>
      <c r="AF53" s="26"/>
      <c r="AG53" s="57">
        <f>SUBTOTAL(9,AH53:AK53)</f>
        <v>4007</v>
      </c>
      <c r="AH53" s="57">
        <v>1983</v>
      </c>
      <c r="AI53" s="57">
        <v>2024</v>
      </c>
      <c r="AJ53" s="26"/>
      <c r="AK53" s="26"/>
      <c r="AL53" s="26">
        <f>SUM(AM53:AS53)</f>
        <v>0</v>
      </c>
      <c r="AM53" s="26"/>
      <c r="AN53" s="78"/>
      <c r="AO53" s="78"/>
      <c r="AP53" s="78"/>
      <c r="AQ53" s="78"/>
      <c r="AR53" s="78"/>
      <c r="AS53" s="78"/>
      <c r="AT53" s="43"/>
      <c r="AU53" s="43"/>
      <c r="AV53" s="26"/>
      <c r="AW53" s="26"/>
      <c r="AX53" s="43"/>
      <c r="AY53" s="72">
        <f>Y53-AV53-AX53-AW53</f>
        <v>0</v>
      </c>
      <c r="AZ53" s="68"/>
      <c r="BA53" s="26">
        <f>AL53+AG53+AA53+AT53</f>
        <v>4007</v>
      </c>
      <c r="BB53" s="30">
        <f>BD53+AO53+AG53</f>
        <v>0</v>
      </c>
      <c r="BC53" s="30">
        <f>BD53+AS53</f>
        <v>-4007</v>
      </c>
      <c r="BD53" s="30">
        <f>IF(BA53&gt;0,Y53-BA53,BA53)</f>
        <v>-4007</v>
      </c>
      <c r="BE53" s="31">
        <v>150</v>
      </c>
      <c r="BF53" s="30" t="s">
        <v>76</v>
      </c>
      <c r="BG53" s="31">
        <f>BE53*Q53</f>
        <v>0</v>
      </c>
      <c r="BH53" s="31">
        <f>BE53*R53*0.4</f>
        <v>0</v>
      </c>
      <c r="BI53" s="142">
        <f>BE53*T53</f>
        <v>0</v>
      </c>
      <c r="BJ53" s="142">
        <f>BE53*U53*0.4</f>
        <v>0</v>
      </c>
      <c r="BK53" s="32">
        <f>Y53*BE53</f>
        <v>0</v>
      </c>
      <c r="BL53" s="25">
        <v>40000</v>
      </c>
      <c r="BM53" s="25">
        <v>40000</v>
      </c>
      <c r="BN53" s="25">
        <v>40000</v>
      </c>
      <c r="BO53" s="25">
        <v>40000</v>
      </c>
      <c r="BP53" s="25">
        <f>BE53*AV53</f>
        <v>0</v>
      </c>
      <c r="BQ53" s="25">
        <f>BE53*AX53</f>
        <v>0</v>
      </c>
      <c r="BR53" s="43"/>
    </row>
    <row r="54" spans="1:70" s="6" customFormat="1" ht="41.25" customHeight="1">
      <c r="A54" s="18">
        <v>51</v>
      </c>
      <c r="B54" s="18" t="s">
        <v>48</v>
      </c>
      <c r="C54" s="18" t="s">
        <v>49</v>
      </c>
      <c r="D54" s="19" t="s">
        <v>50</v>
      </c>
      <c r="E54" s="22" t="s">
        <v>543</v>
      </c>
      <c r="F54" s="52" t="s">
        <v>123</v>
      </c>
      <c r="G54" s="52" t="s">
        <v>123</v>
      </c>
      <c r="H54" s="22"/>
      <c r="I54" s="22"/>
      <c r="J54" s="22"/>
      <c r="K54" s="22"/>
      <c r="L54" s="22"/>
      <c r="M54" s="22"/>
      <c r="N54" s="22" t="s">
        <v>544</v>
      </c>
      <c r="O54" s="23"/>
      <c r="P54" s="18" t="s">
        <v>56</v>
      </c>
      <c r="Q54" s="29">
        <v>1200</v>
      </c>
      <c r="R54" s="72"/>
      <c r="S54" s="25">
        <v>1200</v>
      </c>
      <c r="T54" s="26"/>
      <c r="U54" s="26"/>
      <c r="V54" s="25">
        <v>1200</v>
      </c>
      <c r="W54" s="26"/>
      <c r="X54" s="25">
        <v>720</v>
      </c>
      <c r="Y54" s="29">
        <f>T54+R54+Q54+U54+W54</f>
        <v>1200</v>
      </c>
      <c r="Z54" s="27">
        <v>6000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41">
        <f>SUM(AM54:AS54)</f>
        <v>2254</v>
      </c>
      <c r="AM54" s="26"/>
      <c r="AN54" s="49">
        <v>0</v>
      </c>
      <c r="AO54" s="49">
        <f>1939+315</f>
        <v>2254</v>
      </c>
      <c r="AP54" s="49"/>
      <c r="AQ54" s="49"/>
      <c r="AR54" s="49"/>
      <c r="AS54" s="49"/>
      <c r="AT54" s="198"/>
      <c r="AU54" s="198"/>
      <c r="AV54" s="26"/>
      <c r="AW54" s="26"/>
      <c r="AX54" s="198"/>
      <c r="AY54" s="29">
        <f>Y54-AV54-AX54-AW54</f>
        <v>1200</v>
      </c>
      <c r="AZ54" s="29">
        <f ca="1">'Layout for shadhous 1&amp;2'!F54</f>
        <v>1200</v>
      </c>
      <c r="BA54" s="26">
        <f>AL54+AG54+AA54+AT54</f>
        <v>2254</v>
      </c>
      <c r="BB54" s="30">
        <f>BD54+AO54+AG54</f>
        <v>1200</v>
      </c>
      <c r="BC54" s="30">
        <f>BD54+AS54</f>
        <v>-1054</v>
      </c>
      <c r="BD54" s="30">
        <f>IF(BA54&gt;0,Y54-BA54,BA54)</f>
        <v>-1054</v>
      </c>
      <c r="BE54" s="31">
        <v>12</v>
      </c>
      <c r="BF54" s="30" t="s">
        <v>76</v>
      </c>
      <c r="BG54" s="31">
        <f>BE54*Q54</f>
        <v>14400</v>
      </c>
      <c r="BH54" s="31">
        <f>BE54*R54*0.4</f>
        <v>0</v>
      </c>
      <c r="BI54" s="31">
        <f>BE54*T54</f>
        <v>0</v>
      </c>
      <c r="BJ54" s="31">
        <f>BE54*U54*0.4</f>
        <v>0</v>
      </c>
      <c r="BK54" s="32">
        <f>Y54*BE54</f>
        <v>14400</v>
      </c>
      <c r="BL54" s="25">
        <v>720</v>
      </c>
      <c r="BM54" s="25">
        <v>720</v>
      </c>
      <c r="BN54" s="25">
        <v>720</v>
      </c>
      <c r="BO54" s="25">
        <v>720</v>
      </c>
      <c r="BP54" s="25">
        <f>BE54*AV54</f>
        <v>0</v>
      </c>
      <c r="BQ54" s="25">
        <f>BE54*AX54</f>
        <v>0</v>
      </c>
      <c r="BR54" s="198"/>
    </row>
    <row r="55" spans="1:70" s="6" customFormat="1" ht="41.25" customHeight="1">
      <c r="A55" s="18">
        <v>52</v>
      </c>
      <c r="B55" s="18" t="s">
        <v>58</v>
      </c>
      <c r="C55" s="18" t="s">
        <v>547</v>
      </c>
      <c r="D55" s="36" t="s">
        <v>68</v>
      </c>
      <c r="E55" s="22" t="s">
        <v>548</v>
      </c>
      <c r="F55" s="36" t="s">
        <v>70</v>
      </c>
      <c r="G55" s="36" t="s">
        <v>70</v>
      </c>
      <c r="H55" s="22"/>
      <c r="I55" s="37" t="s">
        <v>104</v>
      </c>
      <c r="J55" s="37"/>
      <c r="K55" s="37"/>
      <c r="L55" s="22"/>
      <c r="M55" s="23" t="s">
        <v>72</v>
      </c>
      <c r="N55" s="22" t="s">
        <v>549</v>
      </c>
      <c r="O55" s="23" t="s">
        <v>550</v>
      </c>
      <c r="P55" s="38" t="s">
        <v>56</v>
      </c>
      <c r="Q55" s="29">
        <v>16</v>
      </c>
      <c r="R55" s="72"/>
      <c r="S55" s="40">
        <v>16</v>
      </c>
      <c r="T55" s="63">
        <v>10</v>
      </c>
      <c r="U55" s="26"/>
      <c r="V55" s="25">
        <v>10</v>
      </c>
      <c r="W55" s="29">
        <v>14</v>
      </c>
      <c r="X55" s="25">
        <v>10</v>
      </c>
      <c r="Y55" s="29">
        <f>T55+R55+Q55+U55+W55</f>
        <v>40</v>
      </c>
      <c r="Z55" s="27">
        <v>80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>
        <f>SUM(AM55:AS55)</f>
        <v>0</v>
      </c>
      <c r="AM55" s="26"/>
      <c r="AN55" s="26"/>
      <c r="AO55" s="26"/>
      <c r="AP55" s="26"/>
      <c r="AQ55" s="26"/>
      <c r="AR55" s="26"/>
      <c r="AS55" s="26"/>
      <c r="AT55" s="28"/>
      <c r="AU55" s="28"/>
      <c r="AV55" s="26"/>
      <c r="AW55" s="26"/>
      <c r="AX55" s="28"/>
      <c r="AY55" s="29">
        <f>Y55-AV55-AX55-AW55</f>
        <v>40</v>
      </c>
      <c r="AZ55" s="29">
        <f>'Layout for trees right'!E32</f>
        <v>40</v>
      </c>
      <c r="BA55" s="26">
        <f>AL55+AG55+AA55+AT55</f>
        <v>0</v>
      </c>
      <c r="BB55" s="30">
        <f>BD55+AO55+AG55</f>
        <v>0</v>
      </c>
      <c r="BC55" s="30">
        <f>BD55+AS55</f>
        <v>0</v>
      </c>
      <c r="BD55" s="30">
        <f>IF(BA55&gt;0,Y55-BA55,BA55)</f>
        <v>0</v>
      </c>
      <c r="BE55" s="31">
        <v>154</v>
      </c>
      <c r="BF55" s="30" t="s">
        <v>76</v>
      </c>
      <c r="BG55" s="31">
        <f>BE55*Q55</f>
        <v>2464</v>
      </c>
      <c r="BH55" s="31">
        <f>BE55*R55*0.4</f>
        <v>0</v>
      </c>
      <c r="BI55" s="31">
        <f>BE55*T55</f>
        <v>1540</v>
      </c>
      <c r="BJ55" s="31">
        <f>BE55*U55*0.4</f>
        <v>0</v>
      </c>
      <c r="BK55" s="32">
        <f>Y55*BE55</f>
        <v>6160</v>
      </c>
      <c r="BL55" s="25">
        <v>10</v>
      </c>
      <c r="BM55" s="25">
        <v>10</v>
      </c>
      <c r="BN55" s="25">
        <v>10</v>
      </c>
      <c r="BO55" s="25">
        <v>14</v>
      </c>
      <c r="BP55" s="25">
        <f>BE55*AV55</f>
        <v>0</v>
      </c>
      <c r="BQ55" s="25">
        <f>BE55*AX55</f>
        <v>0</v>
      </c>
      <c r="BR55" s="28"/>
    </row>
    <row r="56" spans="1:70" s="6" customFormat="1" ht="41.25" customHeight="1">
      <c r="A56" s="18">
        <v>53</v>
      </c>
      <c r="B56" s="18" t="s">
        <v>191</v>
      </c>
      <c r="C56" s="18" t="s">
        <v>192</v>
      </c>
      <c r="D56" s="21" t="s">
        <v>50</v>
      </c>
      <c r="E56" s="22" t="s">
        <v>556</v>
      </c>
      <c r="F56" s="52" t="s">
        <v>123</v>
      </c>
      <c r="G56" s="52" t="s">
        <v>123</v>
      </c>
      <c r="H56" s="22">
        <v>200</v>
      </c>
      <c r="I56" s="22">
        <v>300</v>
      </c>
      <c r="J56" s="22"/>
      <c r="K56" s="22"/>
      <c r="L56" s="22"/>
      <c r="M56" s="22"/>
      <c r="N56" s="22" t="s">
        <v>557</v>
      </c>
      <c r="O56" s="23"/>
      <c r="P56" s="38" t="s">
        <v>56</v>
      </c>
      <c r="Q56" s="29">
        <f>1400-583</f>
        <v>817</v>
      </c>
      <c r="R56" s="72"/>
      <c r="S56" s="40">
        <v>1400</v>
      </c>
      <c r="T56" s="26"/>
      <c r="U56" s="26"/>
      <c r="V56" s="25">
        <v>1400</v>
      </c>
      <c r="W56" s="26"/>
      <c r="X56" s="25">
        <v>840</v>
      </c>
      <c r="Y56" s="29">
        <f>T56+R56+Q56+U56+W56</f>
        <v>817</v>
      </c>
      <c r="Z56" s="27">
        <v>7000</v>
      </c>
      <c r="AA56" s="64">
        <f>SUBTOTAL(9,AB56:AF56)</f>
        <v>7</v>
      </c>
      <c r="AB56" s="82">
        <v>7</v>
      </c>
      <c r="AC56" s="26"/>
      <c r="AD56" s="26"/>
      <c r="AE56" s="26"/>
      <c r="AF56" s="26"/>
      <c r="AG56" s="57">
        <v>325</v>
      </c>
      <c r="AH56" s="26"/>
      <c r="AI56" s="26"/>
      <c r="AJ56" s="57">
        <v>82</v>
      </c>
      <c r="AK56" s="57">
        <v>243</v>
      </c>
      <c r="AL56" s="26">
        <f>SUM(AM56:AS56)</f>
        <v>0</v>
      </c>
      <c r="AM56" s="26"/>
      <c r="AN56" s="26"/>
      <c r="AO56" s="26"/>
      <c r="AP56" s="26"/>
      <c r="AQ56" s="26"/>
      <c r="AR56" s="26"/>
      <c r="AS56" s="26"/>
      <c r="AT56" s="28"/>
      <c r="AU56" s="28"/>
      <c r="AV56" s="26"/>
      <c r="AW56" s="64">
        <v>7</v>
      </c>
      <c r="AX56" s="28"/>
      <c r="AY56" s="29">
        <f>Y56-AV56-AX56-AW56</f>
        <v>810</v>
      </c>
      <c r="AZ56" s="29">
        <f>'Layout for shadhous 3'!Q55</f>
        <v>810</v>
      </c>
      <c r="BA56" s="26">
        <f>AL56+AG56+AA56+AT56</f>
        <v>332</v>
      </c>
      <c r="BB56" s="30">
        <f>BD56+AO56+AG56</f>
        <v>810</v>
      </c>
      <c r="BC56" s="30">
        <f>BD56+AS56</f>
        <v>485</v>
      </c>
      <c r="BD56" s="30">
        <f>IF(BA56&gt;0,Y56-BA56,BA56)</f>
        <v>485</v>
      </c>
      <c r="BE56" s="31">
        <v>11</v>
      </c>
      <c r="BF56" s="30" t="s">
        <v>76</v>
      </c>
      <c r="BG56" s="31">
        <f>BE56*Q56</f>
        <v>8987</v>
      </c>
      <c r="BH56" s="31">
        <f>BE56*R56*0.4</f>
        <v>0</v>
      </c>
      <c r="BI56" s="31">
        <f>BE56*T56</f>
        <v>0</v>
      </c>
      <c r="BJ56" s="31">
        <f>BE56*U56*0.4</f>
        <v>0</v>
      </c>
      <c r="BK56" s="32">
        <f>Y56*BE56</f>
        <v>8987</v>
      </c>
      <c r="BL56" s="25">
        <v>840</v>
      </c>
      <c r="BM56" s="25">
        <v>840</v>
      </c>
      <c r="BN56" s="25">
        <v>840</v>
      </c>
      <c r="BO56" s="25">
        <v>840</v>
      </c>
      <c r="BP56" s="25">
        <f>BE56*AV56</f>
        <v>0</v>
      </c>
      <c r="BQ56" s="25">
        <f>BE56*AX56</f>
        <v>0</v>
      </c>
      <c r="BR56" s="28"/>
    </row>
    <row r="57" spans="1:70" s="6" customFormat="1" ht="41.25" customHeight="1">
      <c r="A57" s="18">
        <v>54</v>
      </c>
      <c r="B57" s="18" t="s">
        <v>191</v>
      </c>
      <c r="C57" s="18" t="s">
        <v>192</v>
      </c>
      <c r="D57" s="21" t="s">
        <v>50</v>
      </c>
      <c r="E57" s="22" t="s">
        <v>556</v>
      </c>
      <c r="F57" s="52" t="s">
        <v>123</v>
      </c>
      <c r="G57" s="52" t="s">
        <v>123</v>
      </c>
      <c r="H57" s="22">
        <v>200</v>
      </c>
      <c r="I57" s="22">
        <v>300</v>
      </c>
      <c r="J57" s="22"/>
      <c r="K57" s="22"/>
      <c r="L57" s="22"/>
      <c r="M57" s="22"/>
      <c r="N57" s="22" t="s">
        <v>559</v>
      </c>
      <c r="O57" s="23"/>
      <c r="P57" s="18" t="s">
        <v>56</v>
      </c>
      <c r="Q57" s="72"/>
      <c r="R57" s="72"/>
      <c r="S57" s="25">
        <v>1360</v>
      </c>
      <c r="T57" s="26"/>
      <c r="U57" s="26"/>
      <c r="V57" s="25">
        <v>1360</v>
      </c>
      <c r="W57" s="26"/>
      <c r="X57" s="25">
        <v>816</v>
      </c>
      <c r="Y57" s="26">
        <f>T57+R57+Q57+U57+W57</f>
        <v>0</v>
      </c>
      <c r="Z57" s="27">
        <v>6800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>
        <f>SUM(AM57:AS57)</f>
        <v>0</v>
      </c>
      <c r="AM57" s="26"/>
      <c r="AN57" s="26"/>
      <c r="AO57" s="26"/>
      <c r="AP57" s="26"/>
      <c r="AQ57" s="26"/>
      <c r="AR57" s="26"/>
      <c r="AS57" s="26"/>
      <c r="AT57" s="28"/>
      <c r="AU57" s="28"/>
      <c r="AV57" s="26"/>
      <c r="AW57" s="26"/>
      <c r="AX57" s="28"/>
      <c r="AY57" s="72">
        <f>Y57-AV57-AX57-AW57</f>
        <v>0</v>
      </c>
      <c r="AZ57" s="68"/>
      <c r="BA57" s="26">
        <f>AL57+AG57+AA57+AT57</f>
        <v>0</v>
      </c>
      <c r="BB57" s="30">
        <f>BD57+AO57+AG57</f>
        <v>0</v>
      </c>
      <c r="BC57" s="30">
        <f>BD57+AS57</f>
        <v>0</v>
      </c>
      <c r="BD57" s="30">
        <f>IF(BA57&gt;0,Y57-BA57,BA57)</f>
        <v>0</v>
      </c>
      <c r="BE57" s="31">
        <v>11</v>
      </c>
      <c r="BF57" s="30" t="s">
        <v>76</v>
      </c>
      <c r="BG57" s="31">
        <f>BE57*Q57</f>
        <v>0</v>
      </c>
      <c r="BH57" s="31">
        <f>BE57*R57*0.4</f>
        <v>0</v>
      </c>
      <c r="BI57" s="142">
        <f>BE57*T57</f>
        <v>0</v>
      </c>
      <c r="BJ57" s="142">
        <f>BE57*U57*0.4</f>
        <v>0</v>
      </c>
      <c r="BK57" s="32">
        <f>Y57*BE57</f>
        <v>0</v>
      </c>
      <c r="BL57" s="25">
        <v>816</v>
      </c>
      <c r="BM57" s="25">
        <v>816</v>
      </c>
      <c r="BN57" s="25">
        <v>816</v>
      </c>
      <c r="BO57" s="25">
        <v>816</v>
      </c>
      <c r="BP57" s="25">
        <f>BE57*AV57</f>
        <v>0</v>
      </c>
      <c r="BQ57" s="25">
        <f>BE57*AX57</f>
        <v>0</v>
      </c>
      <c r="BR57" s="28"/>
    </row>
    <row r="58" spans="1:70" s="6" customFormat="1" ht="41.25" customHeight="1">
      <c r="A58" s="18">
        <v>55</v>
      </c>
      <c r="B58" s="18" t="s">
        <v>58</v>
      </c>
      <c r="C58" s="18" t="s">
        <v>259</v>
      </c>
      <c r="D58" s="21" t="s">
        <v>50</v>
      </c>
      <c r="E58" s="22" t="s">
        <v>565</v>
      </c>
      <c r="F58" s="52" t="s">
        <v>123</v>
      </c>
      <c r="G58" s="52" t="s">
        <v>123</v>
      </c>
      <c r="H58" s="22">
        <v>500</v>
      </c>
      <c r="I58" s="22"/>
      <c r="J58" s="22"/>
      <c r="K58" s="22"/>
      <c r="L58" s="22"/>
      <c r="M58" s="22"/>
      <c r="N58" s="22" t="s">
        <v>566</v>
      </c>
      <c r="O58" s="23" t="s">
        <v>567</v>
      </c>
      <c r="P58" s="18" t="s">
        <v>56</v>
      </c>
      <c r="Q58" s="29">
        <v>400</v>
      </c>
      <c r="R58" s="72"/>
      <c r="S58" s="25">
        <v>2860</v>
      </c>
      <c r="T58" s="26"/>
      <c r="U58" s="26"/>
      <c r="V58" s="25">
        <v>2860</v>
      </c>
      <c r="W58" s="26"/>
      <c r="X58" s="25">
        <v>1716</v>
      </c>
      <c r="Y58" s="29">
        <f>T58+R58+Q58+U58+W58</f>
        <v>400</v>
      </c>
      <c r="Z58" s="27">
        <v>14300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41">
        <f>SUM(AM58:AS58)</f>
        <v>50</v>
      </c>
      <c r="AM58" s="41"/>
      <c r="AN58" s="49">
        <v>0</v>
      </c>
      <c r="AO58" s="49">
        <v>50</v>
      </c>
      <c r="AP58" s="49"/>
      <c r="AQ58" s="49"/>
      <c r="AR58" s="49"/>
      <c r="AS58" s="49"/>
      <c r="AT58" s="43"/>
      <c r="AU58" s="43"/>
      <c r="AV58" s="26"/>
      <c r="AW58" s="26"/>
      <c r="AX58" s="43"/>
      <c r="AY58" s="29">
        <f>Y58-AV58-AX58-AW58</f>
        <v>400</v>
      </c>
      <c r="AZ58" s="29">
        <f ca="1">'Layout for shadhous 1&amp;2'!F57</f>
        <v>400</v>
      </c>
      <c r="BA58" s="26">
        <f>AL58+AG58+AA58+AT58</f>
        <v>50</v>
      </c>
      <c r="BB58" s="30">
        <f>BD58+AO58+AG58</f>
        <v>400</v>
      </c>
      <c r="BC58" s="30">
        <f>BD58+AS58</f>
        <v>350</v>
      </c>
      <c r="BD58" s="30">
        <f>IF(BA58&gt;0,Y58-BA58,BA58)</f>
        <v>350</v>
      </c>
      <c r="BE58" s="31">
        <v>4</v>
      </c>
      <c r="BF58" s="30" t="s">
        <v>76</v>
      </c>
      <c r="BG58" s="31">
        <f>BE58*Q58</f>
        <v>1600</v>
      </c>
      <c r="BH58" s="31">
        <f>BE58*R58*0.4</f>
        <v>0</v>
      </c>
      <c r="BI58" s="142">
        <f>BE58*T58</f>
        <v>0</v>
      </c>
      <c r="BJ58" s="142">
        <f>BE58*U58*0.4</f>
        <v>0</v>
      </c>
      <c r="BK58" s="32">
        <f>Y58*BE58</f>
        <v>1600</v>
      </c>
      <c r="BL58" s="25">
        <v>1716</v>
      </c>
      <c r="BM58" s="25">
        <v>1716</v>
      </c>
      <c r="BN58" s="25">
        <v>1716</v>
      </c>
      <c r="BO58" s="25">
        <v>1716</v>
      </c>
      <c r="BP58" s="25">
        <f>BE58*AV58</f>
        <v>0</v>
      </c>
      <c r="BQ58" s="25">
        <f>BE58*AX58</f>
        <v>0</v>
      </c>
      <c r="BR58" s="43"/>
    </row>
    <row r="59" spans="1:70" s="6" customFormat="1" ht="41.25" customHeight="1">
      <c r="A59" s="18">
        <v>56</v>
      </c>
      <c r="B59" s="18" t="s">
        <v>191</v>
      </c>
      <c r="C59" s="18" t="s">
        <v>192</v>
      </c>
      <c r="D59" s="21" t="s">
        <v>50</v>
      </c>
      <c r="E59" s="22" t="s">
        <v>573</v>
      </c>
      <c r="F59" s="52" t="s">
        <v>123</v>
      </c>
      <c r="G59" s="21" t="s">
        <v>52</v>
      </c>
      <c r="H59" s="22">
        <v>120</v>
      </c>
      <c r="I59" s="22">
        <v>200</v>
      </c>
      <c r="J59" s="22"/>
      <c r="K59" s="22"/>
      <c r="L59" s="22" t="s">
        <v>52</v>
      </c>
      <c r="M59" s="22"/>
      <c r="N59" s="22" t="s">
        <v>574</v>
      </c>
      <c r="O59" s="23" t="s">
        <v>575</v>
      </c>
      <c r="P59" s="18" t="s">
        <v>56</v>
      </c>
      <c r="Q59" s="72"/>
      <c r="R59" s="72"/>
      <c r="S59" s="25">
        <v>260</v>
      </c>
      <c r="T59" s="26"/>
      <c r="U59" s="26"/>
      <c r="V59" s="25">
        <v>260</v>
      </c>
      <c r="W59" s="26"/>
      <c r="X59" s="25">
        <v>156</v>
      </c>
      <c r="Y59" s="26">
        <f>T59+R59+Q59+U59+W59</f>
        <v>0</v>
      </c>
      <c r="Z59" s="27">
        <v>1300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>
        <f>SUM(AM59:AS59)</f>
        <v>0</v>
      </c>
      <c r="AM59" s="26"/>
      <c r="AN59" s="26"/>
      <c r="AO59" s="26"/>
      <c r="AP59" s="26"/>
      <c r="AQ59" s="26"/>
      <c r="AR59" s="26"/>
      <c r="AS59" s="26"/>
      <c r="AT59" s="28"/>
      <c r="AU59" s="28"/>
      <c r="AV59" s="26"/>
      <c r="AW59" s="26"/>
      <c r="AX59" s="28"/>
      <c r="AY59" s="72">
        <f>Y59-AV59-AX59-AW59</f>
        <v>0</v>
      </c>
      <c r="AZ59" s="68"/>
      <c r="BA59" s="26">
        <f>AL59+AG59+AA59+AT59</f>
        <v>0</v>
      </c>
      <c r="BB59" s="30">
        <f>BD59+AO59+AG59</f>
        <v>0</v>
      </c>
      <c r="BC59" s="30">
        <f>BD59+AS59</f>
        <v>0</v>
      </c>
      <c r="BD59" s="30">
        <f>IF(BA59&gt;0,Y59-BA59,BA59)</f>
        <v>0</v>
      </c>
      <c r="BE59" s="31">
        <v>7</v>
      </c>
      <c r="BF59" s="30" t="s">
        <v>76</v>
      </c>
      <c r="BG59" s="31">
        <f>BE59*Q59</f>
        <v>0</v>
      </c>
      <c r="BH59" s="31">
        <f>BE59*R59*0.4</f>
        <v>0</v>
      </c>
      <c r="BI59" s="142">
        <f>BE59*T59</f>
        <v>0</v>
      </c>
      <c r="BJ59" s="142">
        <f>BE59*U59*0.4</f>
        <v>0</v>
      </c>
      <c r="BK59" s="32">
        <f>Y59*BE59</f>
        <v>0</v>
      </c>
      <c r="BL59" s="25">
        <v>156</v>
      </c>
      <c r="BM59" s="25">
        <v>156</v>
      </c>
      <c r="BN59" s="25">
        <v>156</v>
      </c>
      <c r="BO59" s="25">
        <v>156</v>
      </c>
      <c r="BP59" s="25">
        <f>BE59*AV59</f>
        <v>0</v>
      </c>
      <c r="BQ59" s="25">
        <f>BE59*AX59</f>
        <v>0</v>
      </c>
      <c r="BR59" s="28"/>
    </row>
    <row r="60" spans="1:70" s="6" customFormat="1" ht="41.25" customHeight="1">
      <c r="A60" s="18">
        <v>57</v>
      </c>
      <c r="B60" s="18" t="s">
        <v>48</v>
      </c>
      <c r="C60" s="65" t="s">
        <v>232</v>
      </c>
      <c r="D60" s="19" t="s">
        <v>50</v>
      </c>
      <c r="E60" s="22" t="s">
        <v>576</v>
      </c>
      <c r="F60" s="52" t="s">
        <v>123</v>
      </c>
      <c r="G60" s="34" t="s">
        <v>128</v>
      </c>
      <c r="H60" s="22"/>
      <c r="I60" s="22"/>
      <c r="J60" s="22"/>
      <c r="K60" s="22"/>
      <c r="L60" s="22" t="s">
        <v>119</v>
      </c>
      <c r="M60" s="22"/>
      <c r="N60" s="22" t="s">
        <v>577</v>
      </c>
      <c r="O60" s="23" t="s">
        <v>578</v>
      </c>
      <c r="P60" s="18" t="s">
        <v>56</v>
      </c>
      <c r="Q60" s="72"/>
      <c r="R60" s="49"/>
      <c r="S60" s="25">
        <v>640</v>
      </c>
      <c r="T60" s="26"/>
      <c r="U60" s="26"/>
      <c r="V60" s="25">
        <v>640</v>
      </c>
      <c r="W60" s="26"/>
      <c r="X60" s="25">
        <v>384</v>
      </c>
      <c r="Y60" s="26">
        <f>T60+R60+Q60+U60+W60</f>
        <v>0</v>
      </c>
      <c r="Z60" s="27">
        <v>3200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>
        <f>SUM(AM60:AS60)</f>
        <v>0</v>
      </c>
      <c r="AM60" s="26"/>
      <c r="AN60" s="26"/>
      <c r="AO60" s="26"/>
      <c r="AP60" s="26"/>
      <c r="AQ60" s="26"/>
      <c r="AR60" s="26"/>
      <c r="AS60" s="26"/>
      <c r="AT60" s="28"/>
      <c r="AU60" s="28"/>
      <c r="AV60" s="26"/>
      <c r="AW60" s="26"/>
      <c r="AX60" s="28"/>
      <c r="AY60" s="72">
        <f>Y60-AV60-AX60-AW60</f>
        <v>0</v>
      </c>
      <c r="AZ60" s="68"/>
      <c r="BA60" s="26">
        <f>AL60+AG60+AA60+AT60</f>
        <v>0</v>
      </c>
      <c r="BB60" s="30">
        <f>BD60+AO60+AG60</f>
        <v>0</v>
      </c>
      <c r="BC60" s="30">
        <f>BD60+AS60</f>
        <v>0</v>
      </c>
      <c r="BD60" s="30">
        <f>IF(BA60&gt;0,Y60-BA60,BA60)</f>
        <v>0</v>
      </c>
      <c r="BE60" s="31">
        <v>4</v>
      </c>
      <c r="BF60" s="30" t="s">
        <v>76</v>
      </c>
      <c r="BG60" s="31">
        <f>BE60*Q60</f>
        <v>0</v>
      </c>
      <c r="BH60" s="31">
        <f>BE60*R60*0.4</f>
        <v>0</v>
      </c>
      <c r="BI60" s="142">
        <f>BE60*T60</f>
        <v>0</v>
      </c>
      <c r="BJ60" s="142">
        <f>BE60*U60*0.4</f>
        <v>0</v>
      </c>
      <c r="BK60" s="32">
        <f>Y60*BE60</f>
        <v>0</v>
      </c>
      <c r="BL60" s="25">
        <v>384</v>
      </c>
      <c r="BM60" s="25">
        <v>384</v>
      </c>
      <c r="BN60" s="25">
        <v>384</v>
      </c>
      <c r="BO60" s="25">
        <v>384</v>
      </c>
      <c r="BP60" s="25">
        <f>BE60*AV60</f>
        <v>0</v>
      </c>
      <c r="BQ60" s="25">
        <f>BE60*AX60</f>
        <v>0</v>
      </c>
      <c r="BR60" s="28"/>
    </row>
    <row r="61" spans="1:70" s="6" customFormat="1" ht="41.25" customHeight="1">
      <c r="A61" s="18">
        <v>58</v>
      </c>
      <c r="B61" s="18" t="s">
        <v>48</v>
      </c>
      <c r="C61" s="18" t="s">
        <v>49</v>
      </c>
      <c r="D61" s="19" t="s">
        <v>50</v>
      </c>
      <c r="E61" s="22" t="s">
        <v>543</v>
      </c>
      <c r="F61" s="52" t="s">
        <v>123</v>
      </c>
      <c r="G61" s="52" t="s">
        <v>123</v>
      </c>
      <c r="H61" s="22">
        <v>300</v>
      </c>
      <c r="I61" s="22">
        <v>500</v>
      </c>
      <c r="J61" s="22"/>
      <c r="K61" s="22"/>
      <c r="L61" s="22"/>
      <c r="M61" s="22"/>
      <c r="N61" s="22" t="s">
        <v>582</v>
      </c>
      <c r="O61" s="23"/>
      <c r="P61" s="18" t="s">
        <v>56</v>
      </c>
      <c r="Q61" s="29">
        <v>3695</v>
      </c>
      <c r="R61" s="29">
        <v>2265</v>
      </c>
      <c r="S61" s="25">
        <v>5960</v>
      </c>
      <c r="T61" s="29">
        <f>3000-773</f>
        <v>2227</v>
      </c>
      <c r="U61" s="26"/>
      <c r="V61" s="25">
        <v>5960</v>
      </c>
      <c r="W61" s="26"/>
      <c r="X61" s="25">
        <v>3576</v>
      </c>
      <c r="Y61" s="29">
        <f>T61+R61+Q61+U61+W61</f>
        <v>8187</v>
      </c>
      <c r="Z61" s="27">
        <v>29800</v>
      </c>
      <c r="AA61" s="64">
        <f>SUBTOTAL(9,AB61:AF61)</f>
        <v>42</v>
      </c>
      <c r="AB61" s="64">
        <v>36</v>
      </c>
      <c r="AC61" s="26"/>
      <c r="AD61" s="64">
        <v>6</v>
      </c>
      <c r="AE61" s="26"/>
      <c r="AF61" s="26"/>
      <c r="AG61" s="57">
        <v>451</v>
      </c>
      <c r="AH61" s="26"/>
      <c r="AI61" s="26"/>
      <c r="AJ61" s="57">
        <v>143</v>
      </c>
      <c r="AK61" s="57">
        <v>308</v>
      </c>
      <c r="AL61" s="41">
        <f>SUM(AM61:AS61)</f>
        <v>3843</v>
      </c>
      <c r="AM61" s="41">
        <v>3055</v>
      </c>
      <c r="AN61" s="49">
        <v>367</v>
      </c>
      <c r="AO61" s="49">
        <f>106+315</f>
        <v>421</v>
      </c>
      <c r="AP61" s="49"/>
      <c r="AQ61" s="49"/>
      <c r="AR61" s="49"/>
      <c r="AS61" s="49"/>
      <c r="AT61" s="43"/>
      <c r="AU61" s="43"/>
      <c r="AV61" s="41">
        <f>1779+412+74+272+518</f>
        <v>3055</v>
      </c>
      <c r="AW61" s="64">
        <f>36+6</f>
        <v>42</v>
      </c>
      <c r="AX61" s="43"/>
      <c r="AY61" s="29">
        <f>Y61-AV61-AX61-AW61</f>
        <v>5090</v>
      </c>
      <c r="AZ61" s="29">
        <f>'Layout for shadhous 3'!I56</f>
        <v>5090</v>
      </c>
      <c r="BA61" s="26">
        <f>AL61+AG61+AA61+AT61</f>
        <v>4336</v>
      </c>
      <c r="BB61" s="30">
        <f>BD61+AO61+AG61</f>
        <v>4723</v>
      </c>
      <c r="BC61" s="30">
        <f>BD61+AS61</f>
        <v>3851</v>
      </c>
      <c r="BD61" s="30">
        <f>IF(BA61&gt;0,Y61-BA61,BA61)</f>
        <v>3851</v>
      </c>
      <c r="BE61" s="31">
        <v>11</v>
      </c>
      <c r="BF61" s="30" t="s">
        <v>76</v>
      </c>
      <c r="BG61" s="31">
        <f>BE61*Q61</f>
        <v>40645</v>
      </c>
      <c r="BH61" s="31">
        <f>BE61*R61*0.4</f>
        <v>9966</v>
      </c>
      <c r="BI61" s="142">
        <f>BE61*T61</f>
        <v>24497</v>
      </c>
      <c r="BJ61" s="142">
        <f>BE61*U61*0.4</f>
        <v>0</v>
      </c>
      <c r="BK61" s="32">
        <f>Y61*BE61</f>
        <v>90057</v>
      </c>
      <c r="BL61" s="25">
        <v>3576</v>
      </c>
      <c r="BM61" s="25">
        <v>3576</v>
      </c>
      <c r="BN61" s="25">
        <v>3576</v>
      </c>
      <c r="BO61" s="25">
        <v>3576</v>
      </c>
      <c r="BP61" s="25">
        <f>BE61*AV61</f>
        <v>33605</v>
      </c>
      <c r="BQ61" s="25">
        <f>BE61*AX61</f>
        <v>0</v>
      </c>
      <c r="BR61" s="43"/>
    </row>
    <row r="62" spans="1:70" s="6" customFormat="1" ht="41.25" customHeight="1">
      <c r="A62" s="18">
        <v>59</v>
      </c>
      <c r="B62" s="18" t="s">
        <v>48</v>
      </c>
      <c r="C62" s="18" t="s">
        <v>49</v>
      </c>
      <c r="D62" s="19" t="s">
        <v>50</v>
      </c>
      <c r="E62" s="22" t="s">
        <v>583</v>
      </c>
      <c r="F62" s="52" t="s">
        <v>123</v>
      </c>
      <c r="G62" s="52" t="s">
        <v>123</v>
      </c>
      <c r="H62" s="22">
        <v>200</v>
      </c>
      <c r="I62" s="22">
        <v>1000</v>
      </c>
      <c r="J62" s="22"/>
      <c r="K62" s="22"/>
      <c r="L62" s="22" t="s">
        <v>119</v>
      </c>
      <c r="M62" s="22"/>
      <c r="N62" s="22" t="s">
        <v>584</v>
      </c>
      <c r="O62" s="23"/>
      <c r="P62" s="18" t="s">
        <v>56</v>
      </c>
      <c r="Q62" s="72"/>
      <c r="R62" s="147"/>
      <c r="S62" s="25">
        <v>260</v>
      </c>
      <c r="T62" s="26"/>
      <c r="U62" s="26"/>
      <c r="V62" s="25">
        <v>260</v>
      </c>
      <c r="W62" s="26"/>
      <c r="X62" s="25">
        <v>156</v>
      </c>
      <c r="Y62" s="26">
        <f>T62+R62+Q62+U62+W62</f>
        <v>0</v>
      </c>
      <c r="Z62" s="27">
        <v>1300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>
        <f>SUM(AM62:AS62)</f>
        <v>0</v>
      </c>
      <c r="AM62" s="26"/>
      <c r="AN62" s="26"/>
      <c r="AO62" s="26"/>
      <c r="AP62" s="26"/>
      <c r="AQ62" s="26"/>
      <c r="AR62" s="26"/>
      <c r="AS62" s="26"/>
      <c r="AT62" s="28"/>
      <c r="AU62" s="28"/>
      <c r="AV62" s="26"/>
      <c r="AW62" s="26"/>
      <c r="AX62" s="28"/>
      <c r="AY62" s="72">
        <f>Y62-AV62-AX62-AW62</f>
        <v>0</v>
      </c>
      <c r="AZ62" s="68"/>
      <c r="BA62" s="26">
        <f>AL62+AG62+AA62+AT62</f>
        <v>0</v>
      </c>
      <c r="BB62" s="30">
        <f>BD62+AO62+AG62</f>
        <v>0</v>
      </c>
      <c r="BC62" s="30">
        <f>BD62+AS62</f>
        <v>0</v>
      </c>
      <c r="BD62" s="30">
        <f>IF(BA62&gt;0,Y62-BA62,BA62)</f>
        <v>0</v>
      </c>
      <c r="BE62" s="31">
        <v>19</v>
      </c>
      <c r="BF62" s="30" t="s">
        <v>76</v>
      </c>
      <c r="BG62" s="31">
        <f>BE62*Q62</f>
        <v>0</v>
      </c>
      <c r="BH62" s="31">
        <f>BE62*R62*0.4</f>
        <v>0</v>
      </c>
      <c r="BI62" s="142">
        <f>BE62*T62</f>
        <v>0</v>
      </c>
      <c r="BJ62" s="142">
        <f>BE62*U62*0.4</f>
        <v>0</v>
      </c>
      <c r="BK62" s="32">
        <f>Y62*BE62</f>
        <v>0</v>
      </c>
      <c r="BL62" s="25">
        <v>156</v>
      </c>
      <c r="BM62" s="25">
        <v>156</v>
      </c>
      <c r="BN62" s="25">
        <v>156</v>
      </c>
      <c r="BO62" s="25">
        <v>156</v>
      </c>
      <c r="BP62" s="25">
        <f>BE62*AV62</f>
        <v>0</v>
      </c>
      <c r="BQ62" s="25">
        <f>BE62*AX62</f>
        <v>0</v>
      </c>
      <c r="BR62" s="28"/>
    </row>
    <row r="63" spans="1:70" s="6" customFormat="1" ht="41.25" customHeight="1">
      <c r="A63" s="18">
        <v>60</v>
      </c>
      <c r="B63" s="18" t="s">
        <v>58</v>
      </c>
      <c r="C63" s="18" t="s">
        <v>259</v>
      </c>
      <c r="D63" s="21" t="s">
        <v>50</v>
      </c>
      <c r="E63" s="22" t="s">
        <v>591</v>
      </c>
      <c r="F63" s="52" t="s">
        <v>123</v>
      </c>
      <c r="G63" s="52" t="s">
        <v>123</v>
      </c>
      <c r="H63" s="22"/>
      <c r="I63" s="22"/>
      <c r="J63" s="22"/>
      <c r="K63" s="22"/>
      <c r="L63" s="22"/>
      <c r="M63" s="22"/>
      <c r="N63" s="22" t="s">
        <v>600</v>
      </c>
      <c r="O63" s="23"/>
      <c r="P63" s="18" t="s">
        <v>56</v>
      </c>
      <c r="Q63" s="29">
        <f>1200-340</f>
        <v>860</v>
      </c>
      <c r="R63" s="72"/>
      <c r="S63" s="25">
        <v>1200</v>
      </c>
      <c r="T63" s="26"/>
      <c r="U63" s="26"/>
      <c r="V63" s="25">
        <v>1200</v>
      </c>
      <c r="W63" s="26"/>
      <c r="X63" s="25">
        <v>720</v>
      </c>
      <c r="Y63" s="29">
        <f>T63+R63+Q63+U63+W63</f>
        <v>860</v>
      </c>
      <c r="Z63" s="27">
        <v>6000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41">
        <f>SUM(AM63:AS63)</f>
        <v>2671</v>
      </c>
      <c r="AM63" s="26"/>
      <c r="AN63" s="49">
        <v>0</v>
      </c>
      <c r="AO63" s="49">
        <v>2671</v>
      </c>
      <c r="AP63" s="49"/>
      <c r="AQ63" s="49"/>
      <c r="AR63" s="49"/>
      <c r="AS63" s="49"/>
      <c r="AT63" s="43"/>
      <c r="AU63" s="43"/>
      <c r="AV63" s="26"/>
      <c r="AW63" s="26"/>
      <c r="AX63" s="43"/>
      <c r="AY63" s="29">
        <f>Y63-AV63-AX63-AW63</f>
        <v>860</v>
      </c>
      <c r="AZ63" s="29">
        <f ca="1">'Layout for shadhous 1&amp;2'!F55</f>
        <v>860</v>
      </c>
      <c r="BA63" s="26">
        <f>AL63+AG63+AA63+AT63</f>
        <v>2671</v>
      </c>
      <c r="BB63" s="30">
        <f>BD63+AO63+AG63</f>
        <v>860</v>
      </c>
      <c r="BC63" s="30">
        <f>BD63+AS63</f>
        <v>-1811</v>
      </c>
      <c r="BD63" s="30">
        <f>IF(BA63&gt;0,Y63-BA63,BA63)</f>
        <v>-1811</v>
      </c>
      <c r="BE63" s="31">
        <v>4</v>
      </c>
      <c r="BF63" s="30" t="s">
        <v>76</v>
      </c>
      <c r="BG63" s="31">
        <f>BE63*Q63</f>
        <v>3440</v>
      </c>
      <c r="BH63" s="31">
        <f>BE63*R63*0.4</f>
        <v>0</v>
      </c>
      <c r="BI63" s="31">
        <f>BE63*T63</f>
        <v>0</v>
      </c>
      <c r="BJ63" s="31">
        <f>BE63*U63*0.4</f>
        <v>0</v>
      </c>
      <c r="BK63" s="32">
        <f>Y63*BE63</f>
        <v>3440</v>
      </c>
      <c r="BL63" s="25">
        <v>720</v>
      </c>
      <c r="BM63" s="25">
        <v>720</v>
      </c>
      <c r="BN63" s="25">
        <v>720</v>
      </c>
      <c r="BO63" s="25">
        <v>720</v>
      </c>
      <c r="BP63" s="25">
        <f>BE63*AV63</f>
        <v>0</v>
      </c>
      <c r="BQ63" s="25">
        <f>BE63*AX63</f>
        <v>0</v>
      </c>
      <c r="BR63" s="43"/>
    </row>
    <row r="64" spans="1:70" s="6" customFormat="1" ht="41.25" customHeight="1">
      <c r="A64" s="18">
        <v>61</v>
      </c>
      <c r="B64" s="18" t="s">
        <v>58</v>
      </c>
      <c r="C64" s="18" t="s">
        <v>547</v>
      </c>
      <c r="D64" s="36" t="s">
        <v>68</v>
      </c>
      <c r="E64" s="22" t="s">
        <v>612</v>
      </c>
      <c r="F64" s="36" t="s">
        <v>70</v>
      </c>
      <c r="G64" s="36" t="s">
        <v>70</v>
      </c>
      <c r="H64" s="22"/>
      <c r="I64" s="37" t="s">
        <v>613</v>
      </c>
      <c r="J64" s="37"/>
      <c r="K64" s="37"/>
      <c r="L64" s="22" t="s">
        <v>119</v>
      </c>
      <c r="M64" s="22"/>
      <c r="N64" s="114" t="s">
        <v>614</v>
      </c>
      <c r="O64" s="23"/>
      <c r="P64" s="18" t="s">
        <v>56</v>
      </c>
      <c r="Q64" s="72"/>
      <c r="R64" s="72"/>
      <c r="S64" s="25">
        <v>4</v>
      </c>
      <c r="T64" s="26"/>
      <c r="U64" s="26"/>
      <c r="V64" s="25">
        <v>2</v>
      </c>
      <c r="W64" s="26"/>
      <c r="X64" s="25">
        <v>2</v>
      </c>
      <c r="Y64" s="26">
        <f>T64+R64+Q64+U64+W64</f>
        <v>0</v>
      </c>
      <c r="Z64" s="27">
        <v>20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>
        <f>SUM(AM64:AS64)</f>
        <v>0</v>
      </c>
      <c r="AM64" s="26"/>
      <c r="AN64" s="26"/>
      <c r="AO64" s="26"/>
      <c r="AP64" s="26"/>
      <c r="AQ64" s="26"/>
      <c r="AR64" s="26"/>
      <c r="AS64" s="26"/>
      <c r="AT64" s="28"/>
      <c r="AU64" s="28"/>
      <c r="AV64" s="26"/>
      <c r="AW64" s="26"/>
      <c r="AX64" s="28"/>
      <c r="AY64" s="72">
        <f>Y64-AV64-AX64-AW64</f>
        <v>0</v>
      </c>
      <c r="AZ64" s="68"/>
      <c r="BA64" s="26">
        <f>AL64+AG64+AA64+AT64</f>
        <v>0</v>
      </c>
      <c r="BB64" s="30">
        <f>BD64+AO64+AG64</f>
        <v>0</v>
      </c>
      <c r="BC64" s="30">
        <f>BD64+AS64</f>
        <v>0</v>
      </c>
      <c r="BD64" s="30">
        <f>IF(BA64&gt;0,Y64-BA64,BA64)</f>
        <v>0</v>
      </c>
      <c r="BE64" s="31">
        <v>803</v>
      </c>
      <c r="BF64" s="30" t="s">
        <v>76</v>
      </c>
      <c r="BG64" s="31">
        <f>BE64*Q64</f>
        <v>0</v>
      </c>
      <c r="BH64" s="31">
        <f>BE64*R64*0.4</f>
        <v>0</v>
      </c>
      <c r="BI64" s="31">
        <f>BE64*T64</f>
        <v>0</v>
      </c>
      <c r="BJ64" s="31">
        <f>BE64*U64*0.4</f>
        <v>0</v>
      </c>
      <c r="BK64" s="32">
        <f>Y64*BE64</f>
        <v>0</v>
      </c>
      <c r="BL64" s="25">
        <v>2</v>
      </c>
      <c r="BM64" s="25">
        <v>2</v>
      </c>
      <c r="BN64" s="25">
        <v>2</v>
      </c>
      <c r="BO64" s="25">
        <v>6</v>
      </c>
      <c r="BP64" s="25">
        <f>BE64*AV64</f>
        <v>0</v>
      </c>
      <c r="BQ64" s="25">
        <f>BE64*AX64</f>
        <v>0</v>
      </c>
      <c r="BR64" s="28"/>
    </row>
    <row r="65" spans="1:71" s="6" customFormat="1" ht="41.25" customHeight="1">
      <c r="A65" s="18">
        <v>62</v>
      </c>
      <c r="B65" s="18" t="s">
        <v>58</v>
      </c>
      <c r="C65" s="18" t="s">
        <v>547</v>
      </c>
      <c r="D65" s="36" t="s">
        <v>68</v>
      </c>
      <c r="E65" s="22" t="s">
        <v>623</v>
      </c>
      <c r="F65" s="36" t="s">
        <v>70</v>
      </c>
      <c r="G65" s="36" t="s">
        <v>70</v>
      </c>
      <c r="H65" s="22"/>
      <c r="I65" s="37" t="s">
        <v>104</v>
      </c>
      <c r="J65" s="37"/>
      <c r="K65" s="37"/>
      <c r="L65" s="22"/>
      <c r="M65" s="23" t="s">
        <v>624</v>
      </c>
      <c r="N65" s="22" t="s">
        <v>625</v>
      </c>
      <c r="O65" s="23"/>
      <c r="P65" s="38" t="s">
        <v>56</v>
      </c>
      <c r="Q65" s="29">
        <v>58</v>
      </c>
      <c r="R65" s="72"/>
      <c r="S65" s="40">
        <v>58</v>
      </c>
      <c r="T65" s="63">
        <v>35</v>
      </c>
      <c r="U65" s="26"/>
      <c r="V65" s="25">
        <v>35</v>
      </c>
      <c r="W65" s="29">
        <v>107</v>
      </c>
      <c r="X65" s="25">
        <v>35</v>
      </c>
      <c r="Y65" s="29">
        <f>T65+R65+Q65+U65+W65</f>
        <v>200</v>
      </c>
      <c r="Z65" s="27">
        <v>290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>
        <f>SUM(AM65:AS65)</f>
        <v>0</v>
      </c>
      <c r="AM65" s="26"/>
      <c r="AN65" s="26"/>
      <c r="AO65" s="26"/>
      <c r="AP65" s="26"/>
      <c r="AQ65" s="26"/>
      <c r="AR65" s="26"/>
      <c r="AS65" s="26"/>
      <c r="AT65" s="28"/>
      <c r="AU65" s="28"/>
      <c r="AV65" s="26"/>
      <c r="AW65" s="26"/>
      <c r="AX65" s="28"/>
      <c r="AY65" s="29">
        <f>Y65-AV65-AX65-AW65</f>
        <v>200</v>
      </c>
      <c r="AZ65" s="29">
        <f>'Layout for trees right'!I22</f>
        <v>200</v>
      </c>
      <c r="BA65" s="26">
        <f>AL65+AG65+AA65+AT65</f>
        <v>0</v>
      </c>
      <c r="BB65" s="30">
        <f>BD65+AO65+AG65</f>
        <v>0</v>
      </c>
      <c r="BC65" s="30">
        <f>BD65+AS65</f>
        <v>0</v>
      </c>
      <c r="BD65" s="30">
        <f>IF(BA65&gt;0,Y65-BA65,BA65)</f>
        <v>0</v>
      </c>
      <c r="BE65" s="31">
        <v>154</v>
      </c>
      <c r="BF65" s="30" t="s">
        <v>76</v>
      </c>
      <c r="BG65" s="31">
        <f>BE65*Q65</f>
        <v>8932</v>
      </c>
      <c r="BH65" s="31">
        <f>BE65*R65*0.4</f>
        <v>0</v>
      </c>
      <c r="BI65" s="142">
        <f>BE65*T65</f>
        <v>5390</v>
      </c>
      <c r="BJ65" s="142">
        <f>BE65*U65*0.4</f>
        <v>0</v>
      </c>
      <c r="BK65" s="32">
        <f>Y65*BE65</f>
        <v>30800</v>
      </c>
      <c r="BL65" s="25">
        <v>35</v>
      </c>
      <c r="BM65" s="25">
        <v>35</v>
      </c>
      <c r="BN65" s="25">
        <v>35</v>
      </c>
      <c r="BO65" s="25">
        <v>57</v>
      </c>
      <c r="BP65" s="25">
        <f>BE65*AV65</f>
        <v>0</v>
      </c>
      <c r="BQ65" s="25">
        <f>BE65*AX65</f>
        <v>0</v>
      </c>
      <c r="BR65" s="28"/>
    </row>
    <row r="66" spans="1:71" s="6" customFormat="1" ht="41.25" customHeight="1">
      <c r="A66" s="18">
        <v>63</v>
      </c>
      <c r="B66" s="50" t="s">
        <v>66</v>
      </c>
      <c r="C66" s="65" t="s">
        <v>225</v>
      </c>
      <c r="D66" s="56" t="s">
        <v>50</v>
      </c>
      <c r="E66" s="50" t="s">
        <v>645</v>
      </c>
      <c r="F66" s="52" t="s">
        <v>123</v>
      </c>
      <c r="G66" s="52" t="s">
        <v>123</v>
      </c>
      <c r="H66" s="50"/>
      <c r="I66" s="50"/>
      <c r="J66" s="50"/>
      <c r="K66" s="50"/>
      <c r="L66" s="50"/>
      <c r="M66" s="50"/>
      <c r="N66" s="22" t="s">
        <v>646</v>
      </c>
      <c r="O66" s="23" t="s">
        <v>647</v>
      </c>
      <c r="P66" s="18" t="s">
        <v>56</v>
      </c>
      <c r="Q66" s="29">
        <v>50</v>
      </c>
      <c r="R66" s="72"/>
      <c r="S66" s="25">
        <v>1820</v>
      </c>
      <c r="T66" s="26"/>
      <c r="U66" s="26"/>
      <c r="V66" s="25">
        <v>1820</v>
      </c>
      <c r="W66" s="26"/>
      <c r="X66" s="25">
        <v>1092</v>
      </c>
      <c r="Y66" s="29">
        <f>T66+R66+Q66+U66+W66</f>
        <v>50</v>
      </c>
      <c r="Z66" s="27">
        <v>9100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>
        <f>SUM(AM66:AS66)</f>
        <v>0</v>
      </c>
      <c r="AM66" s="26"/>
      <c r="AN66" s="26"/>
      <c r="AO66" s="26"/>
      <c r="AP66" s="26"/>
      <c r="AQ66" s="26"/>
      <c r="AR66" s="26"/>
      <c r="AS66" s="26"/>
      <c r="AT66" s="28"/>
      <c r="AU66" s="28"/>
      <c r="AV66" s="26"/>
      <c r="AW66" s="26"/>
      <c r="AX66" s="28"/>
      <c r="AY66" s="29">
        <f>Y66-AV66-AX66-AW66</f>
        <v>50</v>
      </c>
      <c r="AZ66" s="29">
        <f ca="1">'Layout for shadhous 1&amp;2'!F59</f>
        <v>50</v>
      </c>
      <c r="BA66" s="26">
        <f>AL66+AG66+AA66+AT66</f>
        <v>0</v>
      </c>
      <c r="BB66" s="30">
        <f>BD66+AO66+AG66</f>
        <v>0</v>
      </c>
      <c r="BC66" s="30">
        <f>BD66+AS66</f>
        <v>0</v>
      </c>
      <c r="BD66" s="30">
        <f>IF(BA66&gt;0,Y66-BA66,BA66)</f>
        <v>0</v>
      </c>
      <c r="BE66" s="31">
        <v>19</v>
      </c>
      <c r="BF66" s="30" t="s">
        <v>76</v>
      </c>
      <c r="BG66" s="31">
        <f>BE66*Q66</f>
        <v>950</v>
      </c>
      <c r="BH66" s="31">
        <f>BE66*R66*0.4</f>
        <v>0</v>
      </c>
      <c r="BI66" s="31">
        <f>BE66*T66</f>
        <v>0</v>
      </c>
      <c r="BJ66" s="31">
        <f>BE66*U66*0.4</f>
        <v>0</v>
      </c>
      <c r="BK66" s="32">
        <f>Y66*BE66</f>
        <v>950</v>
      </c>
      <c r="BL66" s="25">
        <v>1092</v>
      </c>
      <c r="BM66" s="25">
        <v>1092</v>
      </c>
      <c r="BN66" s="25">
        <v>1092</v>
      </c>
      <c r="BO66" s="25">
        <v>1092</v>
      </c>
      <c r="BP66" s="25">
        <f>BE66*AV66</f>
        <v>0</v>
      </c>
      <c r="BQ66" s="25">
        <f>BE66*AX66</f>
        <v>0</v>
      </c>
      <c r="BR66" s="28"/>
    </row>
    <row r="67" spans="1:71" s="6" customFormat="1" ht="41.25" customHeight="1">
      <c r="A67" s="18">
        <v>64</v>
      </c>
      <c r="B67" s="18" t="s">
        <v>48</v>
      </c>
      <c r="C67" s="18" t="s">
        <v>49</v>
      </c>
      <c r="D67" s="19" t="s">
        <v>50</v>
      </c>
      <c r="E67" s="22" t="s">
        <v>583</v>
      </c>
      <c r="F67" s="52" t="s">
        <v>123</v>
      </c>
      <c r="G67" s="52" t="s">
        <v>123</v>
      </c>
      <c r="H67" s="22" t="s">
        <v>655</v>
      </c>
      <c r="I67" s="22"/>
      <c r="J67" s="22"/>
      <c r="K67" s="22"/>
      <c r="L67" s="22"/>
      <c r="M67" s="22"/>
      <c r="N67" s="22" t="s">
        <v>656</v>
      </c>
      <c r="O67" s="23" t="s">
        <v>657</v>
      </c>
      <c r="P67" s="18" t="s">
        <v>56</v>
      </c>
      <c r="Q67" s="29">
        <f>2940-178</f>
        <v>2762</v>
      </c>
      <c r="R67" s="72"/>
      <c r="S67" s="25">
        <v>2940</v>
      </c>
      <c r="T67" s="26"/>
      <c r="U67" s="26"/>
      <c r="V67" s="25">
        <v>2940</v>
      </c>
      <c r="W67" s="26"/>
      <c r="X67" s="25">
        <v>1764</v>
      </c>
      <c r="Y67" s="29">
        <f>T67+R67+Q67+U67+W67</f>
        <v>2762</v>
      </c>
      <c r="Z67" s="27">
        <v>14700</v>
      </c>
      <c r="AA67" s="64">
        <f>SUBTOTAL(9,AB67:AF67)</f>
        <v>1742</v>
      </c>
      <c r="AB67" s="26"/>
      <c r="AC67" s="64">
        <v>70</v>
      </c>
      <c r="AD67" s="64">
        <v>646</v>
      </c>
      <c r="AE67" s="64">
        <v>446</v>
      </c>
      <c r="AF67" s="64">
        <v>580</v>
      </c>
      <c r="AG67" s="26"/>
      <c r="AH67" s="26"/>
      <c r="AI67" s="26"/>
      <c r="AJ67" s="26"/>
      <c r="AK67" s="26"/>
      <c r="AL67" s="41">
        <f>SUM(AM67:AS67)</f>
        <v>535</v>
      </c>
      <c r="AM67" s="41"/>
      <c r="AN67" s="49">
        <v>0</v>
      </c>
      <c r="AO67" s="49">
        <v>535</v>
      </c>
      <c r="AP67" s="49"/>
      <c r="AQ67" s="49"/>
      <c r="AR67" s="49"/>
      <c r="AS67" s="49"/>
      <c r="AT67" s="43"/>
      <c r="AU67" s="43"/>
      <c r="AV67" s="26"/>
      <c r="AW67" s="64">
        <f>70+446+646</f>
        <v>1162</v>
      </c>
      <c r="AX67" s="43"/>
      <c r="AY67" s="29">
        <f>Y67-AV67-AX67-AW67</f>
        <v>1600</v>
      </c>
      <c r="AZ67" s="29">
        <f ca="1">'Layout for shadhous 1&amp;2'!F60</f>
        <v>1600</v>
      </c>
      <c r="BA67" s="26">
        <f>AL67+AG67+AA67+AT67</f>
        <v>2277</v>
      </c>
      <c r="BB67" s="30">
        <f>BD67+AO67+AG67</f>
        <v>1020</v>
      </c>
      <c r="BC67" s="30">
        <f>BD67+AS67</f>
        <v>485</v>
      </c>
      <c r="BD67" s="30">
        <f>IF(BA67&gt;0,Y67-BA67,BA67)</f>
        <v>485</v>
      </c>
      <c r="BE67" s="31">
        <v>4</v>
      </c>
      <c r="BF67" s="30" t="s">
        <v>76</v>
      </c>
      <c r="BG67" s="31">
        <f>BE67*Q67</f>
        <v>11048</v>
      </c>
      <c r="BH67" s="31">
        <f>BE67*R67*0.4</f>
        <v>0</v>
      </c>
      <c r="BI67" s="142">
        <f>BE67*T67</f>
        <v>0</v>
      </c>
      <c r="BJ67" s="142">
        <f>BE67*U67*0.4</f>
        <v>0</v>
      </c>
      <c r="BK67" s="32">
        <f>Y67*BE67</f>
        <v>11048</v>
      </c>
      <c r="BL67" s="25">
        <v>1764</v>
      </c>
      <c r="BM67" s="25">
        <v>1764</v>
      </c>
      <c r="BN67" s="25">
        <v>1764</v>
      </c>
      <c r="BO67" s="25">
        <v>1764</v>
      </c>
      <c r="BP67" s="25">
        <f>BE67*AV67</f>
        <v>0</v>
      </c>
      <c r="BQ67" s="25">
        <f>BE67*AX67</f>
        <v>0</v>
      </c>
      <c r="BR67" s="43"/>
    </row>
    <row r="68" spans="1:71" s="6" customFormat="1" ht="41.25" customHeight="1">
      <c r="A68" s="18">
        <v>65</v>
      </c>
      <c r="B68" s="18" t="s">
        <v>58</v>
      </c>
      <c r="C68" s="18" t="s">
        <v>259</v>
      </c>
      <c r="D68" s="21" t="s">
        <v>50</v>
      </c>
      <c r="E68" s="22" t="s">
        <v>661</v>
      </c>
      <c r="F68" s="52" t="s">
        <v>123</v>
      </c>
      <c r="G68" s="52" t="s">
        <v>123</v>
      </c>
      <c r="H68" s="22">
        <v>120</v>
      </c>
      <c r="I68" s="22">
        <v>200</v>
      </c>
      <c r="J68" s="22">
        <v>180</v>
      </c>
      <c r="K68" s="22" t="s">
        <v>292</v>
      </c>
      <c r="L68" s="22"/>
      <c r="M68" s="22"/>
      <c r="N68" s="22" t="s">
        <v>662</v>
      </c>
      <c r="O68" s="23"/>
      <c r="P68" s="18" t="s">
        <v>56</v>
      </c>
      <c r="Q68" s="29">
        <v>620</v>
      </c>
      <c r="R68" s="72"/>
      <c r="S68" s="25">
        <v>2240</v>
      </c>
      <c r="T68" s="26"/>
      <c r="U68" s="26"/>
      <c r="V68" s="25">
        <v>2240</v>
      </c>
      <c r="W68" s="26"/>
      <c r="X68" s="25">
        <v>1344</v>
      </c>
      <c r="Y68" s="53">
        <f>T68+R68+Q68+U68+W68</f>
        <v>620</v>
      </c>
      <c r="Z68" s="27">
        <v>11200</v>
      </c>
      <c r="AA68" s="26"/>
      <c r="AB68" s="26"/>
      <c r="AC68" s="26"/>
      <c r="AD68" s="26"/>
      <c r="AE68" s="26"/>
      <c r="AF68" s="26"/>
      <c r="AG68" s="57">
        <f>SUBTOTAL(9,AH68:AK68)</f>
        <v>614</v>
      </c>
      <c r="AH68" s="26"/>
      <c r="AI68" s="57">
        <v>614</v>
      </c>
      <c r="AJ68" s="26"/>
      <c r="AK68" s="26"/>
      <c r="AL68" s="26">
        <f>SUM(AM68:AS68)</f>
        <v>0</v>
      </c>
      <c r="AM68" s="26"/>
      <c r="AN68" s="26"/>
      <c r="AO68" s="26"/>
      <c r="AP68" s="26"/>
      <c r="AQ68" s="26"/>
      <c r="AR68" s="26"/>
      <c r="AS68" s="26"/>
      <c r="AT68" s="28"/>
      <c r="AU68" s="28"/>
      <c r="AV68" s="26"/>
      <c r="AW68" s="26"/>
      <c r="AX68" s="28"/>
      <c r="AY68" s="29">
        <f>Y68-AV68-AX68-AW68</f>
        <v>620</v>
      </c>
      <c r="AZ68" s="29">
        <f ca="1">'Layout for shadhous 1&amp;2'!F62</f>
        <v>620</v>
      </c>
      <c r="BA68" s="26">
        <f>AL68+AG68+AA68+AT68</f>
        <v>614</v>
      </c>
      <c r="BB68" s="30">
        <f>BD68+AO68+AG68</f>
        <v>620</v>
      </c>
      <c r="BC68" s="30">
        <f>BD68+AS68</f>
        <v>6</v>
      </c>
      <c r="BD68" s="30">
        <f>IF(BA68&gt;0,Y68-BA68,BA68)</f>
        <v>6</v>
      </c>
      <c r="BE68" s="31">
        <v>7</v>
      </c>
      <c r="BF68" s="30" t="s">
        <v>76</v>
      </c>
      <c r="BG68" s="31">
        <f>BE68*Q68</f>
        <v>4340</v>
      </c>
      <c r="BH68" s="31">
        <f>BE68*R68*0.4</f>
        <v>0</v>
      </c>
      <c r="BI68" s="142">
        <f>BE68*T68</f>
        <v>0</v>
      </c>
      <c r="BJ68" s="142">
        <f>BE68*U68*0.4</f>
        <v>0</v>
      </c>
      <c r="BK68" s="32">
        <f>Y68*BE68</f>
        <v>4340</v>
      </c>
      <c r="BL68" s="25">
        <v>1344</v>
      </c>
      <c r="BM68" s="25">
        <v>1344</v>
      </c>
      <c r="BN68" s="25">
        <v>1344</v>
      </c>
      <c r="BO68" s="25">
        <v>1344</v>
      </c>
      <c r="BP68" s="25">
        <f>BE68*AV68</f>
        <v>0</v>
      </c>
      <c r="BQ68" s="25">
        <f>BE68*AX68</f>
        <v>0</v>
      </c>
      <c r="BR68" s="28"/>
    </row>
    <row r="69" spans="1:71" s="6" customFormat="1" ht="41.25" customHeight="1">
      <c r="A69" s="18">
        <v>66</v>
      </c>
      <c r="B69" s="18" t="s">
        <v>191</v>
      </c>
      <c r="C69" s="18" t="s">
        <v>426</v>
      </c>
      <c r="D69" s="36" t="s">
        <v>68</v>
      </c>
      <c r="E69" s="22" t="s">
        <v>672</v>
      </c>
      <c r="F69" s="36" t="s">
        <v>70</v>
      </c>
      <c r="G69" s="36" t="s">
        <v>70</v>
      </c>
      <c r="H69" s="22"/>
      <c r="I69" s="37" t="s">
        <v>104</v>
      </c>
      <c r="J69" s="37"/>
      <c r="K69" s="37"/>
      <c r="L69" s="37"/>
      <c r="M69" s="23" t="s">
        <v>673</v>
      </c>
      <c r="N69" s="22" t="s">
        <v>674</v>
      </c>
      <c r="O69" s="23"/>
      <c r="P69" s="38" t="s">
        <v>56</v>
      </c>
      <c r="Q69" s="29">
        <v>56</v>
      </c>
      <c r="R69" s="72"/>
      <c r="S69" s="40">
        <v>56</v>
      </c>
      <c r="T69" s="63">
        <v>34</v>
      </c>
      <c r="U69" s="26"/>
      <c r="V69" s="25">
        <v>34</v>
      </c>
      <c r="W69" s="29">
        <v>161</v>
      </c>
      <c r="X69" s="25">
        <v>34</v>
      </c>
      <c r="Y69" s="29">
        <f>T69+R69+Q69+U69+W69</f>
        <v>251</v>
      </c>
      <c r="Z69" s="27">
        <v>280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>
        <f>SUM(AM69:AS69)</f>
        <v>0</v>
      </c>
      <c r="AM69" s="26"/>
      <c r="AN69" s="26"/>
      <c r="AO69" s="26"/>
      <c r="AP69" s="26"/>
      <c r="AQ69" s="26"/>
      <c r="AR69" s="26"/>
      <c r="AS69" s="26"/>
      <c r="AT69" s="28"/>
      <c r="AU69" s="28"/>
      <c r="AV69" s="26"/>
      <c r="AW69" s="26"/>
      <c r="AX69" s="28"/>
      <c r="AY69" s="29">
        <f>Y69-AV69-AX69-AW69</f>
        <v>251</v>
      </c>
      <c r="AZ69" s="29">
        <f>'Layout for trees right'!I23</f>
        <v>251</v>
      </c>
      <c r="BA69" s="26">
        <f>AL69+AG69+AA69+AT69</f>
        <v>0</v>
      </c>
      <c r="BB69" s="30">
        <f>BD69+AO69+AG69</f>
        <v>0</v>
      </c>
      <c r="BC69" s="30">
        <f>BD69+AS69</f>
        <v>0</v>
      </c>
      <c r="BD69" s="30">
        <f>IF(BA69&gt;0,Y69-BA69,BA69)</f>
        <v>0</v>
      </c>
      <c r="BE69" s="31">
        <v>154</v>
      </c>
      <c r="BF69" s="30" t="s">
        <v>76</v>
      </c>
      <c r="BG69" s="31">
        <f>BE69*Q69</f>
        <v>8624</v>
      </c>
      <c r="BH69" s="31">
        <f>BE69*R69*0.4</f>
        <v>0</v>
      </c>
      <c r="BI69" s="142">
        <f>BE69*T69</f>
        <v>5236</v>
      </c>
      <c r="BJ69" s="142">
        <f>BE69*U69*0.4</f>
        <v>0</v>
      </c>
      <c r="BK69" s="32">
        <f>Y69*BE69</f>
        <v>38654</v>
      </c>
      <c r="BL69" s="25">
        <v>34</v>
      </c>
      <c r="BM69" s="25">
        <v>34</v>
      </c>
      <c r="BN69" s="25">
        <v>34</v>
      </c>
      <c r="BO69" s="25">
        <v>54</v>
      </c>
      <c r="BP69" s="25">
        <f>BE69*AV69</f>
        <v>0</v>
      </c>
      <c r="BQ69" s="25">
        <f>BE69*AX69</f>
        <v>0</v>
      </c>
      <c r="BR69" s="28"/>
    </row>
    <row r="70" spans="1:71" s="6" customFormat="1" ht="41.25" customHeight="1">
      <c r="A70" s="18">
        <v>67</v>
      </c>
      <c r="B70" s="18" t="s">
        <v>48</v>
      </c>
      <c r="C70" s="18" t="s">
        <v>49</v>
      </c>
      <c r="D70" s="19" t="s">
        <v>50</v>
      </c>
      <c r="E70" s="22" t="s">
        <v>664</v>
      </c>
      <c r="F70" s="52" t="s">
        <v>123</v>
      </c>
      <c r="G70" s="21" t="s">
        <v>52</v>
      </c>
      <c r="H70" s="22">
        <v>120</v>
      </c>
      <c r="I70" s="22">
        <v>200</v>
      </c>
      <c r="J70" s="22"/>
      <c r="K70" s="22"/>
      <c r="L70" s="22" t="s">
        <v>52</v>
      </c>
      <c r="M70" s="23"/>
      <c r="N70" s="22" t="s">
        <v>675</v>
      </c>
      <c r="O70" s="23"/>
      <c r="P70" s="18" t="s">
        <v>56</v>
      </c>
      <c r="Q70" s="72"/>
      <c r="R70" s="72"/>
      <c r="S70" s="25">
        <v>260</v>
      </c>
      <c r="T70" s="26"/>
      <c r="U70" s="26"/>
      <c r="V70" s="25">
        <v>260</v>
      </c>
      <c r="W70" s="26"/>
      <c r="X70" s="25">
        <v>156</v>
      </c>
      <c r="Y70" s="26">
        <f>T70+R70+Q70+U70+W70</f>
        <v>0</v>
      </c>
      <c r="Z70" s="27">
        <v>1300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>
        <f>SUM(AM70:AS70)</f>
        <v>0</v>
      </c>
      <c r="AM70" s="26"/>
      <c r="AN70" s="26"/>
      <c r="AO70" s="26"/>
      <c r="AP70" s="26"/>
      <c r="AQ70" s="26"/>
      <c r="AR70" s="26"/>
      <c r="AS70" s="26"/>
      <c r="AT70" s="28"/>
      <c r="AU70" s="28"/>
      <c r="AV70" s="26"/>
      <c r="AW70" s="26"/>
      <c r="AX70" s="28"/>
      <c r="AY70" s="72">
        <f>Y70-AV70-AX70-AW70</f>
        <v>0</v>
      </c>
      <c r="AZ70" s="68"/>
      <c r="BA70" s="26">
        <f>AL70+AG70+AA70+AT70</f>
        <v>0</v>
      </c>
      <c r="BB70" s="30">
        <f>BD70+AO70+AG70</f>
        <v>0</v>
      </c>
      <c r="BC70" s="30">
        <f>BD70+AS70</f>
        <v>0</v>
      </c>
      <c r="BD70" s="30">
        <f>IF(BA70&gt;0,Y70-BA70,BA70)</f>
        <v>0</v>
      </c>
      <c r="BE70" s="31">
        <v>7</v>
      </c>
      <c r="BF70" s="30" t="s">
        <v>76</v>
      </c>
      <c r="BG70" s="31">
        <f>BE70*Q70</f>
        <v>0</v>
      </c>
      <c r="BH70" s="31">
        <f>BE70*R70*0.4</f>
        <v>0</v>
      </c>
      <c r="BI70" s="142">
        <f>BE70*T70</f>
        <v>0</v>
      </c>
      <c r="BJ70" s="142">
        <f>BE70*U70*0.4</f>
        <v>0</v>
      </c>
      <c r="BK70" s="32">
        <f>Y70*BE70</f>
        <v>0</v>
      </c>
      <c r="BL70" s="25">
        <v>156</v>
      </c>
      <c r="BM70" s="25">
        <v>156</v>
      </c>
      <c r="BN70" s="25">
        <v>156</v>
      </c>
      <c r="BO70" s="25">
        <v>156</v>
      </c>
      <c r="BP70" s="25">
        <f>BE70*AV70</f>
        <v>0</v>
      </c>
      <c r="BQ70" s="25">
        <f>BE70*AX70</f>
        <v>0</v>
      </c>
      <c r="BR70" s="28"/>
    </row>
    <row r="71" spans="1:71" s="6" customFormat="1" ht="41.25" customHeight="1">
      <c r="A71" s="18">
        <v>68</v>
      </c>
      <c r="B71" s="18" t="s">
        <v>48</v>
      </c>
      <c r="C71" s="18" t="s">
        <v>49</v>
      </c>
      <c r="D71" s="19" t="s">
        <v>50</v>
      </c>
      <c r="E71" s="22" t="s">
        <v>676</v>
      </c>
      <c r="F71" s="52" t="s">
        <v>123</v>
      </c>
      <c r="G71" s="21" t="s">
        <v>52</v>
      </c>
      <c r="H71" s="22">
        <v>120</v>
      </c>
      <c r="I71" s="22">
        <v>200</v>
      </c>
      <c r="J71" s="22"/>
      <c r="K71" s="22"/>
      <c r="L71" s="22" t="s">
        <v>52</v>
      </c>
      <c r="M71" s="23"/>
      <c r="N71" s="22" t="s">
        <v>677</v>
      </c>
      <c r="O71" s="23" t="s">
        <v>678</v>
      </c>
      <c r="P71" s="18" t="s">
        <v>56</v>
      </c>
      <c r="Q71" s="72"/>
      <c r="R71" s="72"/>
      <c r="S71" s="25">
        <v>240</v>
      </c>
      <c r="T71" s="26"/>
      <c r="U71" s="26"/>
      <c r="V71" s="25">
        <v>240</v>
      </c>
      <c r="W71" s="26"/>
      <c r="X71" s="25">
        <v>144</v>
      </c>
      <c r="Y71" s="26">
        <f>T71+R71+Q71+U71+W71</f>
        <v>0</v>
      </c>
      <c r="Z71" s="27">
        <v>1200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>
        <f>SUM(AM71:AS71)</f>
        <v>0</v>
      </c>
      <c r="AM71" s="26"/>
      <c r="AN71" s="26"/>
      <c r="AO71" s="26"/>
      <c r="AP71" s="26"/>
      <c r="AQ71" s="26"/>
      <c r="AR71" s="26"/>
      <c r="AS71" s="26"/>
      <c r="AT71" s="28"/>
      <c r="AU71" s="28"/>
      <c r="AV71" s="26"/>
      <c r="AW71" s="26"/>
      <c r="AX71" s="28"/>
      <c r="AY71" s="72">
        <f>Y71-AV71-AX71-AW71</f>
        <v>0</v>
      </c>
      <c r="AZ71" s="68"/>
      <c r="BA71" s="26">
        <f>AL71+AG71+AA71+AT71</f>
        <v>0</v>
      </c>
      <c r="BB71" s="30">
        <f>BD71+AO71+AG71</f>
        <v>0</v>
      </c>
      <c r="BC71" s="30">
        <f>BD71+AS71</f>
        <v>0</v>
      </c>
      <c r="BD71" s="30">
        <f>IF(BA71&gt;0,Y71-BA71,BA71)</f>
        <v>0</v>
      </c>
      <c r="BE71" s="31">
        <v>7</v>
      </c>
      <c r="BF71" s="30" t="s">
        <v>76</v>
      </c>
      <c r="BG71" s="31">
        <f>BE71*Q71</f>
        <v>0</v>
      </c>
      <c r="BH71" s="31">
        <f>BE71*R71*0.4</f>
        <v>0</v>
      </c>
      <c r="BI71" s="142">
        <f>BE71*T71</f>
        <v>0</v>
      </c>
      <c r="BJ71" s="142">
        <f>BE71*U71*0.4</f>
        <v>0</v>
      </c>
      <c r="BK71" s="32">
        <f>Y71*BE71</f>
        <v>0</v>
      </c>
      <c r="BL71" s="25">
        <v>144</v>
      </c>
      <c r="BM71" s="25">
        <v>144</v>
      </c>
      <c r="BN71" s="25">
        <v>144</v>
      </c>
      <c r="BO71" s="25">
        <v>144</v>
      </c>
      <c r="BP71" s="25">
        <f>BE71*AV71</f>
        <v>0</v>
      </c>
      <c r="BQ71" s="25">
        <f>BE71*AX71</f>
        <v>0</v>
      </c>
      <c r="BR71" s="28"/>
    </row>
    <row r="72" spans="1:71" s="6" customFormat="1" ht="41.25" customHeight="1">
      <c r="A72" s="18">
        <v>69</v>
      </c>
      <c r="B72" s="18" t="s">
        <v>48</v>
      </c>
      <c r="C72" s="18" t="s">
        <v>49</v>
      </c>
      <c r="D72" s="19" t="s">
        <v>50</v>
      </c>
      <c r="E72" s="22" t="s">
        <v>676</v>
      </c>
      <c r="F72" s="52" t="s">
        <v>123</v>
      </c>
      <c r="G72" s="52" t="s">
        <v>123</v>
      </c>
      <c r="H72" s="22" t="s">
        <v>655</v>
      </c>
      <c r="I72" s="22"/>
      <c r="J72" s="22"/>
      <c r="K72" s="22"/>
      <c r="L72" s="22" t="s">
        <v>119</v>
      </c>
      <c r="M72" s="23"/>
      <c r="N72" s="22" t="s">
        <v>683</v>
      </c>
      <c r="O72" s="23"/>
      <c r="P72" s="18" t="s">
        <v>56</v>
      </c>
      <c r="Q72" s="72"/>
      <c r="R72" s="72"/>
      <c r="S72" s="25">
        <v>5420</v>
      </c>
      <c r="T72" s="26"/>
      <c r="U72" s="26"/>
      <c r="V72" s="25">
        <v>5420</v>
      </c>
      <c r="W72" s="26"/>
      <c r="X72" s="25">
        <v>3252</v>
      </c>
      <c r="Y72" s="26">
        <f>T72+R72+Q72+U72+W72</f>
        <v>0</v>
      </c>
      <c r="Z72" s="27">
        <v>27100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>
        <f>SUM(AM72:AS72)</f>
        <v>0</v>
      </c>
      <c r="AM72" s="41"/>
      <c r="AN72" s="49">
        <v>0</v>
      </c>
      <c r="AO72" s="49"/>
      <c r="AP72" s="49"/>
      <c r="AQ72" s="49"/>
      <c r="AR72" s="49"/>
      <c r="AS72" s="49"/>
      <c r="AT72" s="43"/>
      <c r="AU72" s="43"/>
      <c r="AV72" s="26"/>
      <c r="AW72" s="64"/>
      <c r="AX72" s="43"/>
      <c r="AY72" s="72">
        <f>Y72-AV72-AX72-AW72</f>
        <v>0</v>
      </c>
      <c r="AZ72" s="68"/>
      <c r="BA72" s="26">
        <f>AL72+AG72+AA72+AT72</f>
        <v>0</v>
      </c>
      <c r="BB72" s="30">
        <f>BD72+AO72+AG72</f>
        <v>0</v>
      </c>
      <c r="BC72" s="30">
        <f>BD72+AS72</f>
        <v>0</v>
      </c>
      <c r="BD72" s="30">
        <f>IF(BA72&gt;0,Y72-BA72,BA72)</f>
        <v>0</v>
      </c>
      <c r="BE72" s="31">
        <v>4</v>
      </c>
      <c r="BF72" s="30" t="s">
        <v>76</v>
      </c>
      <c r="BG72" s="31">
        <f>BE72*Q72</f>
        <v>0</v>
      </c>
      <c r="BH72" s="31">
        <f>BE72*R72*0.4</f>
        <v>0</v>
      </c>
      <c r="BI72" s="142">
        <f>BE72*T72</f>
        <v>0</v>
      </c>
      <c r="BJ72" s="142">
        <f>BE72*U72*0.4</f>
        <v>0</v>
      </c>
      <c r="BK72" s="32">
        <f>Y72*BE72</f>
        <v>0</v>
      </c>
      <c r="BL72" s="25">
        <v>3252</v>
      </c>
      <c r="BM72" s="25">
        <v>3252</v>
      </c>
      <c r="BN72" s="25">
        <v>3252</v>
      </c>
      <c r="BO72" s="25">
        <v>3252</v>
      </c>
      <c r="BP72" s="25">
        <f>BE72*AV72</f>
        <v>0</v>
      </c>
      <c r="BQ72" s="25">
        <f>BE72*AX72</f>
        <v>0</v>
      </c>
      <c r="BR72" s="43"/>
    </row>
    <row r="73" spans="1:71" s="6" customFormat="1" ht="41.25" customHeight="1">
      <c r="A73" s="18">
        <v>70</v>
      </c>
      <c r="B73" s="18" t="s">
        <v>191</v>
      </c>
      <c r="C73" s="18" t="s">
        <v>192</v>
      </c>
      <c r="D73" s="21" t="s">
        <v>50</v>
      </c>
      <c r="E73" s="22" t="s">
        <v>573</v>
      </c>
      <c r="F73" s="52" t="s">
        <v>123</v>
      </c>
      <c r="G73" s="52" t="s">
        <v>123</v>
      </c>
      <c r="H73" s="22">
        <v>300</v>
      </c>
      <c r="I73" s="22">
        <v>500</v>
      </c>
      <c r="J73" s="22"/>
      <c r="K73" s="22"/>
      <c r="L73" s="22"/>
      <c r="M73" s="23"/>
      <c r="N73" s="22" t="s">
        <v>688</v>
      </c>
      <c r="O73" s="23"/>
      <c r="P73" s="38" t="s">
        <v>56</v>
      </c>
      <c r="Q73" s="29">
        <f>360-36</f>
        <v>324</v>
      </c>
      <c r="R73" s="72"/>
      <c r="S73" s="40">
        <v>920</v>
      </c>
      <c r="T73" s="26"/>
      <c r="U73" s="26"/>
      <c r="V73" s="25">
        <v>920</v>
      </c>
      <c r="W73" s="26"/>
      <c r="X73" s="25">
        <v>552</v>
      </c>
      <c r="Y73" s="29">
        <f>T73+R73+Q73+U73+W73</f>
        <v>324</v>
      </c>
      <c r="Z73" s="27">
        <v>4600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>
        <f>SUM(AM73:AS73)</f>
        <v>0</v>
      </c>
      <c r="AM73" s="26"/>
      <c r="AN73" s="26"/>
      <c r="AO73" s="26"/>
      <c r="AP73" s="26"/>
      <c r="AQ73" s="26"/>
      <c r="AR73" s="26"/>
      <c r="AS73" s="26"/>
      <c r="AT73" s="28"/>
      <c r="AU73" s="28"/>
      <c r="AV73" s="26"/>
      <c r="AW73" s="26"/>
      <c r="AX73" s="28"/>
      <c r="AY73" s="29">
        <f>Y73-AV73-AX73-AW73</f>
        <v>324</v>
      </c>
      <c r="AZ73" s="29">
        <f>'Layout for shadhous 3'!I60</f>
        <v>324</v>
      </c>
      <c r="BA73" s="26">
        <f>AL73+AG73+AA73+AT73</f>
        <v>0</v>
      </c>
      <c r="BB73" s="30">
        <f>BD73+AO73+AG73</f>
        <v>0</v>
      </c>
      <c r="BC73" s="30">
        <f>BD73+AS73</f>
        <v>0</v>
      </c>
      <c r="BD73" s="30">
        <f>IF(BA73&gt;0,Y73-BA73,BA73)</f>
        <v>0</v>
      </c>
      <c r="BE73" s="31">
        <v>11</v>
      </c>
      <c r="BF73" s="30" t="s">
        <v>76</v>
      </c>
      <c r="BG73" s="31">
        <f>BE73*Q73</f>
        <v>3564</v>
      </c>
      <c r="BH73" s="31">
        <f>BE73*R73*0.4</f>
        <v>0</v>
      </c>
      <c r="BI73" s="142">
        <f>BE73*T73</f>
        <v>0</v>
      </c>
      <c r="BJ73" s="142">
        <f>BE73*U73*0.4</f>
        <v>0</v>
      </c>
      <c r="BK73" s="32">
        <f>Y73*BE73</f>
        <v>3564</v>
      </c>
      <c r="BL73" s="25">
        <v>552</v>
      </c>
      <c r="BM73" s="25">
        <v>552</v>
      </c>
      <c r="BN73" s="25">
        <v>552</v>
      </c>
      <c r="BO73" s="25">
        <v>552</v>
      </c>
      <c r="BP73" s="25">
        <f>BE73*AV73</f>
        <v>0</v>
      </c>
      <c r="BQ73" s="25">
        <f>BE73*AX73</f>
        <v>0</v>
      </c>
      <c r="BR73" s="28"/>
    </row>
    <row r="74" spans="1:71" s="6" customFormat="1" ht="41.25" customHeight="1">
      <c r="A74" s="18">
        <v>71</v>
      </c>
      <c r="B74" s="18" t="s">
        <v>58</v>
      </c>
      <c r="C74" s="18" t="s">
        <v>259</v>
      </c>
      <c r="D74" s="21" t="s">
        <v>50</v>
      </c>
      <c r="E74" s="22" t="s">
        <v>661</v>
      </c>
      <c r="F74" s="52" t="s">
        <v>123</v>
      </c>
      <c r="G74" s="52" t="s">
        <v>123</v>
      </c>
      <c r="H74" s="22">
        <v>200</v>
      </c>
      <c r="I74" s="22">
        <v>750</v>
      </c>
      <c r="J74" s="22">
        <v>300</v>
      </c>
      <c r="K74" s="22" t="s">
        <v>304</v>
      </c>
      <c r="L74" s="22"/>
      <c r="M74" s="23"/>
      <c r="N74" s="22" t="s">
        <v>698</v>
      </c>
      <c r="O74" s="23"/>
      <c r="P74" s="18" t="s">
        <v>56</v>
      </c>
      <c r="Q74" s="29">
        <v>172</v>
      </c>
      <c r="R74" s="72"/>
      <c r="S74" s="25">
        <v>200</v>
      </c>
      <c r="T74" s="26"/>
      <c r="U74" s="26"/>
      <c r="V74" s="25">
        <v>200</v>
      </c>
      <c r="W74" s="26"/>
      <c r="X74" s="25">
        <v>120</v>
      </c>
      <c r="Y74" s="29">
        <f>T74+R74+Q74+U74+W74</f>
        <v>172</v>
      </c>
      <c r="Z74" s="27">
        <v>1000</v>
      </c>
      <c r="AA74" s="26"/>
      <c r="AB74" s="26"/>
      <c r="AC74" s="26"/>
      <c r="AD74" s="26"/>
      <c r="AE74" s="26"/>
      <c r="AF74" s="26"/>
      <c r="AG74" s="57">
        <f>SUBTOTAL(9,AH74:AK74)</f>
        <v>19</v>
      </c>
      <c r="AH74" s="26"/>
      <c r="AI74" s="57">
        <v>19</v>
      </c>
      <c r="AJ74" s="26"/>
      <c r="AK74" s="26"/>
      <c r="AL74" s="26">
        <f>SUM(AM74:AS74)</f>
        <v>0</v>
      </c>
      <c r="AM74" s="26"/>
      <c r="AN74" s="26"/>
      <c r="AO74" s="26"/>
      <c r="AP74" s="26"/>
      <c r="AQ74" s="26"/>
      <c r="AR74" s="26"/>
      <c r="AS74" s="26"/>
      <c r="AT74" s="28"/>
      <c r="AU74" s="28"/>
      <c r="AV74" s="26"/>
      <c r="AW74" s="26"/>
      <c r="AX74" s="28"/>
      <c r="AY74" s="29">
        <f>Y74-AV74-AX74-AW74</f>
        <v>172</v>
      </c>
      <c r="AZ74" s="29">
        <f>'Layout for shadhous 3'!M50</f>
        <v>172</v>
      </c>
      <c r="BA74" s="26">
        <f>AL74+AG74+AA74+AT74</f>
        <v>19</v>
      </c>
      <c r="BB74" s="30">
        <f>BD74+AO74+AG74</f>
        <v>172</v>
      </c>
      <c r="BC74" s="30">
        <f>BD74+AS74</f>
        <v>153</v>
      </c>
      <c r="BD74" s="30">
        <f>IF(BA74&gt;0,Y74-BA74,BA74)</f>
        <v>153</v>
      </c>
      <c r="BE74" s="31">
        <v>7</v>
      </c>
      <c r="BF74" s="30" t="s">
        <v>76</v>
      </c>
      <c r="BG74" s="31">
        <f>BE74*Q74</f>
        <v>1204</v>
      </c>
      <c r="BH74" s="31">
        <f>BE74*R74*0.4</f>
        <v>0</v>
      </c>
      <c r="BI74" s="142">
        <f>BE74*T74</f>
        <v>0</v>
      </c>
      <c r="BJ74" s="142">
        <f>BE74*U74*0.4</f>
        <v>0</v>
      </c>
      <c r="BK74" s="32">
        <f>Y74*BE74</f>
        <v>1204</v>
      </c>
      <c r="BL74" s="25">
        <v>120</v>
      </c>
      <c r="BM74" s="25">
        <v>120</v>
      </c>
      <c r="BN74" s="25">
        <v>120</v>
      </c>
      <c r="BO74" s="25">
        <v>120</v>
      </c>
      <c r="BP74" s="25">
        <f>BE74*AV74</f>
        <v>0</v>
      </c>
      <c r="BQ74" s="25">
        <f>BE74*AX74</f>
        <v>0</v>
      </c>
      <c r="BR74" s="28"/>
    </row>
    <row r="75" spans="1:71" s="6" customFormat="1" ht="41.25" customHeight="1">
      <c r="A75" s="18">
        <v>72</v>
      </c>
      <c r="B75" s="18" t="s">
        <v>58</v>
      </c>
      <c r="C75" s="18" t="s">
        <v>259</v>
      </c>
      <c r="D75" s="21" t="s">
        <v>50</v>
      </c>
      <c r="E75" s="22" t="s">
        <v>700</v>
      </c>
      <c r="F75" s="52" t="s">
        <v>123</v>
      </c>
      <c r="G75" s="52" t="s">
        <v>123</v>
      </c>
      <c r="H75" s="22">
        <v>300</v>
      </c>
      <c r="I75" s="22">
        <v>500</v>
      </c>
      <c r="J75" s="22"/>
      <c r="K75" s="22"/>
      <c r="L75" s="22"/>
      <c r="M75" s="23"/>
      <c r="N75" s="22" t="s">
        <v>701</v>
      </c>
      <c r="O75" s="23"/>
      <c r="P75" s="38" t="s">
        <v>56</v>
      </c>
      <c r="Q75" s="29">
        <v>168</v>
      </c>
      <c r="R75" s="72"/>
      <c r="S75" s="40">
        <v>200</v>
      </c>
      <c r="T75" s="26"/>
      <c r="U75" s="26"/>
      <c r="V75" s="25">
        <v>200</v>
      </c>
      <c r="W75" s="26"/>
      <c r="X75" s="25">
        <v>120</v>
      </c>
      <c r="Y75" s="29">
        <f>T75+R75+Q75+U75+W75</f>
        <v>168</v>
      </c>
      <c r="Z75" s="27">
        <v>1000</v>
      </c>
      <c r="AA75" s="26"/>
      <c r="AB75" s="26"/>
      <c r="AC75" s="26"/>
      <c r="AD75" s="26"/>
      <c r="AE75" s="26"/>
      <c r="AF75" s="26"/>
      <c r="AG75" s="57">
        <f>SUBTOTAL(9,AH75:AK75)</f>
        <v>67</v>
      </c>
      <c r="AH75" s="26"/>
      <c r="AI75" s="57">
        <v>67</v>
      </c>
      <c r="AJ75" s="26"/>
      <c r="AK75" s="26"/>
      <c r="AL75" s="26">
        <f>SUM(AM75:AS75)</f>
        <v>0</v>
      </c>
      <c r="AM75" s="26"/>
      <c r="AN75" s="78"/>
      <c r="AO75" s="78"/>
      <c r="AP75" s="78"/>
      <c r="AQ75" s="78"/>
      <c r="AR75" s="78"/>
      <c r="AS75" s="78"/>
      <c r="AT75" s="43"/>
      <c r="AU75" s="43"/>
      <c r="AV75" s="26"/>
      <c r="AW75" s="26"/>
      <c r="AX75" s="43"/>
      <c r="AY75" s="29">
        <f>Y75-AV75-AX75-AW75</f>
        <v>168</v>
      </c>
      <c r="AZ75" s="29">
        <f>'Layout for shadhous 3'!M49</f>
        <v>168</v>
      </c>
      <c r="BA75" s="26">
        <f>AL75+AG75+AA75+AT75</f>
        <v>67</v>
      </c>
      <c r="BB75" s="30">
        <f>BD75+AO75+AG75</f>
        <v>168</v>
      </c>
      <c r="BC75" s="30">
        <f>BD75+AS75</f>
        <v>101</v>
      </c>
      <c r="BD75" s="30">
        <f>IF(BA75&gt;0,Y75-BA75,BA75)</f>
        <v>101</v>
      </c>
      <c r="BE75" s="31">
        <v>19</v>
      </c>
      <c r="BF75" s="30" t="s">
        <v>76</v>
      </c>
      <c r="BG75" s="31">
        <f>BE75*Q75</f>
        <v>3192</v>
      </c>
      <c r="BH75" s="31">
        <f>BE75*R75*0.4</f>
        <v>0</v>
      </c>
      <c r="BI75" s="142">
        <f>BE75*T75</f>
        <v>0</v>
      </c>
      <c r="BJ75" s="142">
        <f>BE75*U75*0.4</f>
        <v>0</v>
      </c>
      <c r="BK75" s="32">
        <f>Y75*BE75</f>
        <v>3192</v>
      </c>
      <c r="BL75" s="25">
        <v>120</v>
      </c>
      <c r="BM75" s="25">
        <v>120</v>
      </c>
      <c r="BN75" s="25">
        <v>120</v>
      </c>
      <c r="BO75" s="25">
        <v>120</v>
      </c>
      <c r="BP75" s="25">
        <f>BE75*AV75</f>
        <v>0</v>
      </c>
      <c r="BQ75" s="25">
        <f>BE75*AX75</f>
        <v>0</v>
      </c>
      <c r="BR75" s="43"/>
    </row>
    <row r="76" spans="1:71" s="6" customFormat="1" ht="41.25" customHeight="1">
      <c r="A76" s="18">
        <v>73</v>
      </c>
      <c r="B76" s="18" t="s">
        <v>48</v>
      </c>
      <c r="C76" s="18" t="s">
        <v>49</v>
      </c>
      <c r="D76" s="19" t="s">
        <v>50</v>
      </c>
      <c r="E76" s="22" t="s">
        <v>712</v>
      </c>
      <c r="F76" s="52" t="s">
        <v>123</v>
      </c>
      <c r="G76" s="52" t="s">
        <v>123</v>
      </c>
      <c r="H76" s="22"/>
      <c r="I76" s="22"/>
      <c r="J76" s="22"/>
      <c r="K76" s="22"/>
      <c r="L76" s="22"/>
      <c r="M76" s="23"/>
      <c r="N76" s="22" t="s">
        <v>713</v>
      </c>
      <c r="O76" s="23"/>
      <c r="P76" s="18" t="s">
        <v>56</v>
      </c>
      <c r="Q76" s="29">
        <v>1160</v>
      </c>
      <c r="R76" s="72"/>
      <c r="S76" s="25">
        <v>1160</v>
      </c>
      <c r="T76" s="29">
        <f>928+62</f>
        <v>990</v>
      </c>
      <c r="U76" s="26"/>
      <c r="V76" s="25">
        <v>1160</v>
      </c>
      <c r="W76" s="26"/>
      <c r="X76" s="25">
        <v>696</v>
      </c>
      <c r="Y76" s="29">
        <f>T76+R76+Q76+U76+W76</f>
        <v>2150</v>
      </c>
      <c r="Z76" s="27">
        <v>5800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41">
        <f>SUM(AM76:AS76)</f>
        <v>3255</v>
      </c>
      <c r="AM76" s="26"/>
      <c r="AN76" s="49">
        <v>0</v>
      </c>
      <c r="AO76" s="49">
        <v>3255</v>
      </c>
      <c r="AP76" s="49"/>
      <c r="AQ76" s="49"/>
      <c r="AR76" s="49"/>
      <c r="AS76" s="49"/>
      <c r="AT76" s="43"/>
      <c r="AU76" s="43"/>
      <c r="AV76" s="26"/>
      <c r="AW76" s="26"/>
      <c r="AX76" s="43"/>
      <c r="AY76" s="29">
        <f>Y76-AV76-AX76-AW76</f>
        <v>2150</v>
      </c>
      <c r="AZ76" s="29">
        <f ca="1">'Layout for shadhous 1&amp;2'!F64</f>
        <v>2150</v>
      </c>
      <c r="BA76" s="26">
        <f>AL76+AG76+AA76+AT76</f>
        <v>3255</v>
      </c>
      <c r="BB76" s="30">
        <f>BD76+AO76+AG76</f>
        <v>2150</v>
      </c>
      <c r="BC76" s="30">
        <f>BD76+AS76</f>
        <v>-1105</v>
      </c>
      <c r="BD76" s="30">
        <f>IF(BA76&gt;0,Y76-BA76,BA76)</f>
        <v>-1105</v>
      </c>
      <c r="BE76" s="31">
        <v>11</v>
      </c>
      <c r="BF76" s="30" t="s">
        <v>76</v>
      </c>
      <c r="BG76" s="31">
        <f>BE76*Q76</f>
        <v>12760</v>
      </c>
      <c r="BH76" s="31">
        <f>BE76*R76*0.4</f>
        <v>0</v>
      </c>
      <c r="BI76" s="142">
        <f>BE76*T76</f>
        <v>10890</v>
      </c>
      <c r="BJ76" s="142">
        <f>BE76*U76*0.4</f>
        <v>0</v>
      </c>
      <c r="BK76" s="32">
        <f>Y76*BE76</f>
        <v>23650</v>
      </c>
      <c r="BL76" s="25">
        <v>696</v>
      </c>
      <c r="BM76" s="25">
        <v>696</v>
      </c>
      <c r="BN76" s="25">
        <v>696</v>
      </c>
      <c r="BO76" s="25">
        <v>696</v>
      </c>
      <c r="BP76" s="25">
        <f>BE76*AV76</f>
        <v>0</v>
      </c>
      <c r="BQ76" s="25">
        <f>BE76*AX76</f>
        <v>0</v>
      </c>
      <c r="BR76" s="43"/>
    </row>
    <row r="77" spans="1:71" s="6" customFormat="1" ht="41.25" customHeight="1">
      <c r="A77" s="18">
        <v>74</v>
      </c>
      <c r="B77" s="18" t="s">
        <v>191</v>
      </c>
      <c r="C77" s="18" t="s">
        <v>192</v>
      </c>
      <c r="D77" s="21" t="s">
        <v>50</v>
      </c>
      <c r="E77" s="22" t="s">
        <v>722</v>
      </c>
      <c r="F77" s="52" t="s">
        <v>123</v>
      </c>
      <c r="G77" s="52" t="s">
        <v>123</v>
      </c>
      <c r="H77" s="22"/>
      <c r="I77" s="22"/>
      <c r="J77" s="22"/>
      <c r="K77" s="22"/>
      <c r="L77" s="22"/>
      <c r="M77" s="23"/>
      <c r="N77" s="22" t="s">
        <v>723</v>
      </c>
      <c r="O77" s="23" t="s">
        <v>724</v>
      </c>
      <c r="P77" s="38" t="s">
        <v>56</v>
      </c>
      <c r="Q77" s="29">
        <f>720-420</f>
        <v>300</v>
      </c>
      <c r="R77" s="72"/>
      <c r="S77" s="40">
        <v>2680</v>
      </c>
      <c r="T77" s="26"/>
      <c r="U77" s="26"/>
      <c r="V77" s="25">
        <v>2680</v>
      </c>
      <c r="W77" s="26"/>
      <c r="X77" s="25">
        <v>1608</v>
      </c>
      <c r="Y77" s="29">
        <f>T77+R77+Q77+U77+W77</f>
        <v>300</v>
      </c>
      <c r="Z77" s="27">
        <v>13400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>
        <f>SUM(AM77:AS77)</f>
        <v>0</v>
      </c>
      <c r="AM77" s="26"/>
      <c r="AN77" s="26"/>
      <c r="AO77" s="26"/>
      <c r="AP77" s="26"/>
      <c r="AQ77" s="26"/>
      <c r="AR77" s="26"/>
      <c r="AS77" s="26"/>
      <c r="AT77" s="28"/>
      <c r="AU77" s="28"/>
      <c r="AV77" s="26"/>
      <c r="AW77" s="26"/>
      <c r="AX77" s="28"/>
      <c r="AY77" s="29">
        <f>Y77-AV77-AX77-AW77</f>
        <v>300</v>
      </c>
      <c r="AZ77" s="29">
        <f>'Layout for shadhous 3'!M52</f>
        <v>300</v>
      </c>
      <c r="BA77" s="26">
        <f>AL77+AG77+AA77+AT77</f>
        <v>0</v>
      </c>
      <c r="BB77" s="30">
        <f>BD77+AO77+AG77</f>
        <v>0</v>
      </c>
      <c r="BC77" s="30">
        <f>BD77+AS77</f>
        <v>0</v>
      </c>
      <c r="BD77" s="30">
        <f>IF(BA77&gt;0,Y77-BA77,BA77)</f>
        <v>0</v>
      </c>
      <c r="BE77" s="31">
        <v>11</v>
      </c>
      <c r="BF77" s="30" t="s">
        <v>76</v>
      </c>
      <c r="BG77" s="31">
        <f>BE77*Q77</f>
        <v>3300</v>
      </c>
      <c r="BH77" s="31">
        <f>BE77*R77*0.4</f>
        <v>0</v>
      </c>
      <c r="BI77" s="142">
        <f>BE77*T77</f>
        <v>0</v>
      </c>
      <c r="BJ77" s="142">
        <f>BE77*U77*0.4</f>
        <v>0</v>
      </c>
      <c r="BK77" s="32">
        <f>Y77*BE77</f>
        <v>3300</v>
      </c>
      <c r="BL77" s="25">
        <v>1608</v>
      </c>
      <c r="BM77" s="25">
        <v>1608</v>
      </c>
      <c r="BN77" s="25">
        <v>1608</v>
      </c>
      <c r="BO77" s="25">
        <v>1608</v>
      </c>
      <c r="BP77" s="25">
        <f>BE77*AV77</f>
        <v>0</v>
      </c>
      <c r="BQ77" s="25">
        <f>BE77*AX77</f>
        <v>0</v>
      </c>
      <c r="BR77" s="28"/>
    </row>
    <row r="78" spans="1:71" s="6" customFormat="1" ht="41.25" customHeight="1">
      <c r="A78" s="18">
        <v>75</v>
      </c>
      <c r="B78" s="50" t="s">
        <v>66</v>
      </c>
      <c r="C78" s="44" t="s">
        <v>139</v>
      </c>
      <c r="D78" s="56" t="s">
        <v>50</v>
      </c>
      <c r="E78" s="22" t="s">
        <v>728</v>
      </c>
      <c r="F78" s="34" t="s">
        <v>128</v>
      </c>
      <c r="G78" s="34" t="s">
        <v>128</v>
      </c>
      <c r="H78" s="50" t="s">
        <v>655</v>
      </c>
      <c r="I78" s="50"/>
      <c r="J78" s="50"/>
      <c r="K78" s="50"/>
      <c r="L78" s="50"/>
      <c r="M78" s="23"/>
      <c r="N78" s="22" t="s">
        <v>729</v>
      </c>
      <c r="O78" s="23" t="s">
        <v>730</v>
      </c>
      <c r="P78" s="18" t="s">
        <v>56</v>
      </c>
      <c r="Q78" s="29">
        <v>42560</v>
      </c>
      <c r="R78" s="144"/>
      <c r="S78" s="25">
        <v>42560</v>
      </c>
      <c r="T78" s="29">
        <f>6899+3500+300</f>
        <v>10699</v>
      </c>
      <c r="U78" s="26"/>
      <c r="V78" s="25">
        <v>42560</v>
      </c>
      <c r="W78" s="26"/>
      <c r="X78" s="25">
        <v>25536</v>
      </c>
      <c r="Y78" s="29">
        <f>T78+R78+Q78+U78+W78</f>
        <v>53259</v>
      </c>
      <c r="Z78" s="27">
        <v>212800</v>
      </c>
      <c r="AA78" s="64">
        <f>SUBTOTAL(9,AB78:AF78)</f>
        <v>799</v>
      </c>
      <c r="AB78" s="26"/>
      <c r="AC78" s="64">
        <v>30</v>
      </c>
      <c r="AD78" s="64">
        <v>319</v>
      </c>
      <c r="AE78" s="64">
        <v>186</v>
      </c>
      <c r="AF78" s="64">
        <v>264</v>
      </c>
      <c r="AG78" s="26"/>
      <c r="AH78" s="26"/>
      <c r="AI78" s="26"/>
      <c r="AJ78" s="26"/>
      <c r="AK78" s="26"/>
      <c r="AL78" s="26">
        <f>SUM(AM78:AS78)</f>
        <v>28728</v>
      </c>
      <c r="AM78" s="41">
        <v>17124</v>
      </c>
      <c r="AN78" s="49">
        <v>4941</v>
      </c>
      <c r="AO78" s="49">
        <v>6663</v>
      </c>
      <c r="AP78" s="49"/>
      <c r="AQ78" s="49"/>
      <c r="AR78" s="49"/>
      <c r="AS78" s="49"/>
      <c r="AT78" s="28"/>
      <c r="AU78" s="28"/>
      <c r="AV78" s="41">
        <f>2029+4144+2800+1699+2300+2300+1000+852</f>
        <v>17124</v>
      </c>
      <c r="AW78" s="64">
        <f>30+186+319</f>
        <v>535</v>
      </c>
      <c r="AX78" s="43"/>
      <c r="AY78" s="29">
        <f>Y78-AV78-AX78-AW78</f>
        <v>35600</v>
      </c>
      <c r="AZ78" s="29">
        <f ca="1">'Layout for shadhous 1&amp;2'!F65</f>
        <v>30600</v>
      </c>
      <c r="BA78" s="26">
        <f>AL78+AG78+AA78+AT78</f>
        <v>29527</v>
      </c>
      <c r="BB78" s="30">
        <f>BD78+AO78+AG78</f>
        <v>30395</v>
      </c>
      <c r="BC78" s="30">
        <f>BD78+AS78</f>
        <v>23732</v>
      </c>
      <c r="BD78" s="30">
        <f>IF(BA78&gt;0,Y78-BA78,BA78)</f>
        <v>23732</v>
      </c>
      <c r="BE78" s="31">
        <v>11</v>
      </c>
      <c r="BF78" s="30" t="s">
        <v>76</v>
      </c>
      <c r="BG78" s="31">
        <f>BE78*Q78</f>
        <v>468160</v>
      </c>
      <c r="BH78" s="31">
        <f>BE78*R78*0.4</f>
        <v>0</v>
      </c>
      <c r="BI78" s="142"/>
      <c r="BJ78" s="142"/>
      <c r="BK78" s="32">
        <f>Y78*BE78</f>
        <v>585849</v>
      </c>
      <c r="BL78" s="25">
        <v>25536</v>
      </c>
      <c r="BM78" s="25">
        <v>25536</v>
      </c>
      <c r="BN78" s="25">
        <v>25536</v>
      </c>
      <c r="BO78" s="25">
        <v>25536</v>
      </c>
      <c r="BP78" s="25">
        <f>BE78*AV78</f>
        <v>188364</v>
      </c>
      <c r="BQ78" s="25">
        <f>BE78*AX78</f>
        <v>0</v>
      </c>
      <c r="BR78" s="43"/>
      <c r="BS78" s="32"/>
    </row>
    <row r="79" spans="1:71" s="6" customFormat="1" ht="41.25" customHeight="1">
      <c r="A79" s="18">
        <v>76</v>
      </c>
      <c r="B79" s="18" t="s">
        <v>66</v>
      </c>
      <c r="C79" s="65" t="s">
        <v>225</v>
      </c>
      <c r="D79" s="56" t="s">
        <v>50</v>
      </c>
      <c r="E79" s="22" t="s">
        <v>645</v>
      </c>
      <c r="F79" s="21" t="s">
        <v>52</v>
      </c>
      <c r="G79" s="21" t="s">
        <v>52</v>
      </c>
      <c r="H79" s="22"/>
      <c r="I79" s="22"/>
      <c r="J79" s="22"/>
      <c r="K79" s="22"/>
      <c r="L79" s="22" t="s">
        <v>52</v>
      </c>
      <c r="M79" s="23"/>
      <c r="N79" s="22" t="s">
        <v>734</v>
      </c>
      <c r="O79" s="23" t="s">
        <v>735</v>
      </c>
      <c r="P79" s="18" t="s">
        <v>56</v>
      </c>
      <c r="Q79" s="72"/>
      <c r="R79" s="72"/>
      <c r="S79" s="25">
        <v>920</v>
      </c>
      <c r="T79" s="26"/>
      <c r="U79" s="26"/>
      <c r="V79" s="25">
        <v>920</v>
      </c>
      <c r="W79" s="26"/>
      <c r="X79" s="25">
        <v>552</v>
      </c>
      <c r="Y79" s="26">
        <f>T79+R79+Q79+U79+W79</f>
        <v>0</v>
      </c>
      <c r="Z79" s="27">
        <v>4600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41">
        <f>SUM(AM79:AS79)</f>
        <v>340</v>
      </c>
      <c r="AM79" s="26"/>
      <c r="AN79" s="49">
        <v>0</v>
      </c>
      <c r="AO79" s="49">
        <v>340</v>
      </c>
      <c r="AP79" s="49"/>
      <c r="AQ79" s="49"/>
      <c r="AR79" s="49"/>
      <c r="AS79" s="49"/>
      <c r="AT79" s="43"/>
      <c r="AU79" s="43"/>
      <c r="AV79" s="26"/>
      <c r="AW79" s="26"/>
      <c r="AX79" s="43"/>
      <c r="AY79" s="72">
        <f>Y79-AV79-AX79-AW79</f>
        <v>0</v>
      </c>
      <c r="AZ79" s="68"/>
      <c r="BA79" s="26">
        <f>AL79+AG79+AA79+AT79</f>
        <v>340</v>
      </c>
      <c r="BB79" s="30">
        <f>BD79+AO79+AG79</f>
        <v>0</v>
      </c>
      <c r="BC79" s="30">
        <f>BD79+AS79</f>
        <v>-340</v>
      </c>
      <c r="BD79" s="30">
        <f>IF(BA79&gt;0,Y79-BA79,BA79)</f>
        <v>-340</v>
      </c>
      <c r="BE79" s="31">
        <v>15</v>
      </c>
      <c r="BF79" s="30" t="s">
        <v>76</v>
      </c>
      <c r="BG79" s="31">
        <f>BE79*Q79</f>
        <v>0</v>
      </c>
      <c r="BH79" s="31">
        <f>BE79*R79*0.4</f>
        <v>0</v>
      </c>
      <c r="BI79" s="31">
        <f>BE79*T79</f>
        <v>0</v>
      </c>
      <c r="BJ79" s="31">
        <f>BE79*U79*0.4</f>
        <v>0</v>
      </c>
      <c r="BK79" s="32">
        <f>Y79*BE79</f>
        <v>0</v>
      </c>
      <c r="BL79" s="25">
        <v>552</v>
      </c>
      <c r="BM79" s="25">
        <v>552</v>
      </c>
      <c r="BN79" s="25">
        <v>552</v>
      </c>
      <c r="BO79" s="25">
        <v>552</v>
      </c>
      <c r="BP79" s="25">
        <f>BE79*AV79</f>
        <v>0</v>
      </c>
      <c r="BQ79" s="25">
        <f>BE79*AX79</f>
        <v>0</v>
      </c>
      <c r="BR79" s="43"/>
      <c r="BS79" s="32"/>
    </row>
    <row r="80" spans="1:71" s="6" customFormat="1" ht="41.25" customHeight="1">
      <c r="A80" s="18">
        <v>77</v>
      </c>
      <c r="B80" s="18" t="s">
        <v>58</v>
      </c>
      <c r="C80" s="18" t="s">
        <v>259</v>
      </c>
      <c r="D80" s="21" t="s">
        <v>50</v>
      </c>
      <c r="E80" s="22" t="s">
        <v>736</v>
      </c>
      <c r="F80" s="52" t="s">
        <v>123</v>
      </c>
      <c r="G80" s="52" t="s">
        <v>123</v>
      </c>
      <c r="H80" s="22">
        <v>200</v>
      </c>
      <c r="I80" s="22">
        <v>300</v>
      </c>
      <c r="J80" s="22"/>
      <c r="K80" s="22"/>
      <c r="L80" s="22"/>
      <c r="M80" s="23"/>
      <c r="N80" s="22" t="s">
        <v>737</v>
      </c>
      <c r="O80" s="23" t="s">
        <v>738</v>
      </c>
      <c r="P80" s="18" t="s">
        <v>56</v>
      </c>
      <c r="Q80" s="49"/>
      <c r="R80" s="29">
        <v>100</v>
      </c>
      <c r="S80" s="25">
        <v>260</v>
      </c>
      <c r="T80" s="26"/>
      <c r="U80" s="26"/>
      <c r="V80" s="25">
        <v>260</v>
      </c>
      <c r="W80" s="26"/>
      <c r="X80" s="25">
        <v>156</v>
      </c>
      <c r="Y80" s="29">
        <f>T80+R80+Q80+U80+W80</f>
        <v>100</v>
      </c>
      <c r="Z80" s="27">
        <v>1300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>
        <f>SUM(AM80:AS80)</f>
        <v>0</v>
      </c>
      <c r="AM80" s="26"/>
      <c r="AN80" s="26"/>
      <c r="AO80" s="26"/>
      <c r="AP80" s="26"/>
      <c r="AQ80" s="26"/>
      <c r="AR80" s="26"/>
      <c r="AS80" s="26"/>
      <c r="AT80" s="28"/>
      <c r="AU80" s="28"/>
      <c r="AV80" s="26"/>
      <c r="AW80" s="26"/>
      <c r="AX80" s="28"/>
      <c r="AY80" s="29">
        <f>Y80-AV80-AX80-AW80</f>
        <v>100</v>
      </c>
      <c r="AZ80" s="29">
        <f ca="1">'Layout for shadhous 1&amp;2'!F70</f>
        <v>0</v>
      </c>
      <c r="BA80" s="26">
        <f>AL80+AG80+AA80+AT80</f>
        <v>0</v>
      </c>
      <c r="BB80" s="30">
        <f>BD80+AO80+AG80</f>
        <v>0</v>
      </c>
      <c r="BC80" s="30">
        <f>BD80+AS80</f>
        <v>0</v>
      </c>
      <c r="BD80" s="30">
        <f>IF(BA80&gt;0,Y80-BA80,BA80)</f>
        <v>0</v>
      </c>
      <c r="BE80" s="31">
        <v>7</v>
      </c>
      <c r="BF80" s="30" t="s">
        <v>76</v>
      </c>
      <c r="BG80" s="31">
        <f>BE80*Q80</f>
        <v>0</v>
      </c>
      <c r="BH80" s="31">
        <f>BE80*R80*0.4</f>
        <v>280</v>
      </c>
      <c r="BI80" s="142">
        <f>BE80*T80</f>
        <v>0</v>
      </c>
      <c r="BJ80" s="142">
        <f>BE80*U80*0.4</f>
        <v>0</v>
      </c>
      <c r="BK80" s="32">
        <f>Y80*BE80</f>
        <v>700</v>
      </c>
      <c r="BL80" s="25">
        <v>156</v>
      </c>
      <c r="BM80" s="25">
        <v>156</v>
      </c>
      <c r="BN80" s="25">
        <v>156</v>
      </c>
      <c r="BO80" s="25">
        <v>156</v>
      </c>
      <c r="BP80" s="25">
        <f>BE80*AV80</f>
        <v>0</v>
      </c>
      <c r="BQ80" s="25">
        <f>BE80*AX80</f>
        <v>0</v>
      </c>
      <c r="BR80" s="28"/>
    </row>
    <row r="81" spans="1:70" s="6" customFormat="1" ht="41.25" customHeight="1">
      <c r="A81" s="18">
        <v>78</v>
      </c>
      <c r="B81" s="18" t="s">
        <v>191</v>
      </c>
      <c r="C81" s="18" t="s">
        <v>192</v>
      </c>
      <c r="D81" s="21" t="s">
        <v>50</v>
      </c>
      <c r="E81" s="22" t="s">
        <v>722</v>
      </c>
      <c r="F81" s="52" t="s">
        <v>123</v>
      </c>
      <c r="G81" s="52" t="s">
        <v>123</v>
      </c>
      <c r="H81" s="22">
        <v>200</v>
      </c>
      <c r="I81" s="22">
        <v>300</v>
      </c>
      <c r="J81" s="22"/>
      <c r="K81" s="22"/>
      <c r="L81" s="22"/>
      <c r="M81" s="23"/>
      <c r="N81" s="22" t="s">
        <v>739</v>
      </c>
      <c r="O81" s="23" t="s">
        <v>740</v>
      </c>
      <c r="P81" s="18" t="s">
        <v>56</v>
      </c>
      <c r="Q81" s="29">
        <v>6</v>
      </c>
      <c r="R81" s="72"/>
      <c r="S81" s="25">
        <v>260</v>
      </c>
      <c r="T81" s="26"/>
      <c r="U81" s="26"/>
      <c r="V81" s="25">
        <v>260</v>
      </c>
      <c r="W81" s="26"/>
      <c r="X81" s="25">
        <v>156</v>
      </c>
      <c r="Y81" s="29">
        <f>T81+R81+Q81+U81+W81</f>
        <v>6</v>
      </c>
      <c r="Z81" s="27">
        <v>1300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>
        <f>SUM(AM81:AS81)</f>
        <v>0</v>
      </c>
      <c r="AM81" s="26"/>
      <c r="AN81" s="26"/>
      <c r="AO81" s="26"/>
      <c r="AP81" s="26"/>
      <c r="AQ81" s="26"/>
      <c r="AR81" s="26"/>
      <c r="AS81" s="26"/>
      <c r="AT81" s="28"/>
      <c r="AU81" s="28"/>
      <c r="AV81" s="26"/>
      <c r="AW81" s="26"/>
      <c r="AX81" s="28"/>
      <c r="AY81" s="29">
        <f>Y81-AV81-AX81-AW81</f>
        <v>6</v>
      </c>
      <c r="AZ81" s="29">
        <f ca="1">'Layout for shadhous 1&amp;2'!F69</f>
        <v>0</v>
      </c>
      <c r="BA81" s="26">
        <f>AL81+AG81+AA81+AT81</f>
        <v>0</v>
      </c>
      <c r="BB81" s="30">
        <f>BD81+AO81+AG81</f>
        <v>0</v>
      </c>
      <c r="BC81" s="30">
        <f>BD81+AS81</f>
        <v>0</v>
      </c>
      <c r="BD81" s="30">
        <f>IF(BA81&gt;0,Y81-BA81,BA81)</f>
        <v>0</v>
      </c>
      <c r="BE81" s="31">
        <v>7</v>
      </c>
      <c r="BF81" s="30" t="s">
        <v>76</v>
      </c>
      <c r="BG81" s="31">
        <f>BE81*Q81</f>
        <v>42</v>
      </c>
      <c r="BH81" s="31">
        <f>BE81*R81*0.4</f>
        <v>0</v>
      </c>
      <c r="BI81" s="31">
        <f>BE81*T81</f>
        <v>0</v>
      </c>
      <c r="BJ81" s="31">
        <f>BE81*U81*0.4</f>
        <v>0</v>
      </c>
      <c r="BK81" s="32">
        <f>Y81*BE81</f>
        <v>42</v>
      </c>
      <c r="BL81" s="25">
        <v>156</v>
      </c>
      <c r="BM81" s="25">
        <v>156</v>
      </c>
      <c r="BN81" s="25">
        <v>156</v>
      </c>
      <c r="BO81" s="25">
        <v>156</v>
      </c>
      <c r="BP81" s="25">
        <f>BE81*AV81</f>
        <v>0</v>
      </c>
      <c r="BQ81" s="25">
        <f>BE81*AX81</f>
        <v>0</v>
      </c>
      <c r="BR81" s="28"/>
    </row>
    <row r="82" spans="1:70" s="6" customFormat="1" ht="41.25" customHeight="1">
      <c r="A82" s="18">
        <v>79</v>
      </c>
      <c r="B82" s="18" t="s">
        <v>48</v>
      </c>
      <c r="C82" s="18" t="s">
        <v>49</v>
      </c>
      <c r="D82" s="19" t="s">
        <v>50</v>
      </c>
      <c r="E82" s="22" t="s">
        <v>712</v>
      </c>
      <c r="F82" s="52" t="s">
        <v>123</v>
      </c>
      <c r="G82" s="52" t="s">
        <v>123</v>
      </c>
      <c r="H82" s="22">
        <v>300</v>
      </c>
      <c r="I82" s="22">
        <v>500</v>
      </c>
      <c r="J82" s="22"/>
      <c r="K82" s="22"/>
      <c r="L82" s="22"/>
      <c r="M82" s="23"/>
      <c r="N82" s="22" t="s">
        <v>741</v>
      </c>
      <c r="O82" s="23" t="s">
        <v>742</v>
      </c>
      <c r="P82" s="38" t="s">
        <v>56</v>
      </c>
      <c r="Q82" s="29">
        <v>212</v>
      </c>
      <c r="R82" s="72"/>
      <c r="S82" s="40">
        <v>260</v>
      </c>
      <c r="T82" s="26"/>
      <c r="U82" s="26"/>
      <c r="V82" s="25">
        <v>260</v>
      </c>
      <c r="W82" s="26"/>
      <c r="X82" s="25">
        <v>156</v>
      </c>
      <c r="Y82" s="29">
        <f>T82+R82+Q82+U82+W82</f>
        <v>212</v>
      </c>
      <c r="Z82" s="27">
        <v>1300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41">
        <f>SUM(AM82:AS82)</f>
        <v>17</v>
      </c>
      <c r="AM82" s="41"/>
      <c r="AN82" s="49">
        <v>0</v>
      </c>
      <c r="AO82" s="49">
        <v>17</v>
      </c>
      <c r="AP82" s="49"/>
      <c r="AQ82" s="49"/>
      <c r="AR82" s="49"/>
      <c r="AS82" s="49"/>
      <c r="AT82" s="43"/>
      <c r="AU82" s="43"/>
      <c r="AV82" s="26"/>
      <c r="AW82" s="26"/>
      <c r="AX82" s="43"/>
      <c r="AY82" s="29">
        <f>Y82-AV82-AX82-AW82</f>
        <v>212</v>
      </c>
      <c r="AZ82" s="29">
        <f>'Layout for trees right'!I25</f>
        <v>212</v>
      </c>
      <c r="BA82" s="26">
        <f>AL82+AG82+AA82+AT82</f>
        <v>17</v>
      </c>
      <c r="BB82" s="30">
        <f>BD82+AO82+AG82</f>
        <v>212</v>
      </c>
      <c r="BC82" s="30">
        <f>BD82+AS82</f>
        <v>195</v>
      </c>
      <c r="BD82" s="30">
        <f>IF(BA82&gt;0,Y82-BA82,BA82)</f>
        <v>195</v>
      </c>
      <c r="BE82" s="31">
        <v>11</v>
      </c>
      <c r="BF82" s="30" t="s">
        <v>76</v>
      </c>
      <c r="BG82" s="31">
        <f>BE82*Q82</f>
        <v>2332</v>
      </c>
      <c r="BH82" s="31">
        <f>BE82*R82*0.4</f>
        <v>0</v>
      </c>
      <c r="BI82" s="142">
        <f>BE82*T82</f>
        <v>0</v>
      </c>
      <c r="BJ82" s="142">
        <f>BE82*U82*0.4</f>
        <v>0</v>
      </c>
      <c r="BK82" s="32">
        <f>Y82*BE82</f>
        <v>2332</v>
      </c>
      <c r="BL82" s="25">
        <v>156</v>
      </c>
      <c r="BM82" s="25">
        <v>156</v>
      </c>
      <c r="BN82" s="25">
        <v>156</v>
      </c>
      <c r="BO82" s="25">
        <v>156</v>
      </c>
      <c r="BP82" s="25">
        <f>BE82*AV82</f>
        <v>0</v>
      </c>
      <c r="BQ82" s="25">
        <f>BE82*AX82</f>
        <v>0</v>
      </c>
      <c r="BR82" s="43"/>
    </row>
    <row r="83" spans="1:70" s="6" customFormat="1" ht="41.25" customHeight="1">
      <c r="A83" s="18">
        <v>80</v>
      </c>
      <c r="B83" s="50" t="s">
        <v>66</v>
      </c>
      <c r="C83" s="65" t="s">
        <v>225</v>
      </c>
      <c r="D83" s="56" t="s">
        <v>50</v>
      </c>
      <c r="E83" s="50" t="s">
        <v>746</v>
      </c>
      <c r="F83" s="34" t="s">
        <v>128</v>
      </c>
      <c r="G83" s="52" t="s">
        <v>123</v>
      </c>
      <c r="H83" s="50"/>
      <c r="I83" s="50"/>
      <c r="J83" s="50"/>
      <c r="K83" s="50"/>
      <c r="L83" s="50"/>
      <c r="M83" s="23"/>
      <c r="N83" s="22" t="s">
        <v>747</v>
      </c>
      <c r="O83" s="23" t="s">
        <v>748</v>
      </c>
      <c r="P83" s="38" t="s">
        <v>56</v>
      </c>
      <c r="Q83" s="29">
        <v>650</v>
      </c>
      <c r="R83" s="72"/>
      <c r="S83" s="40">
        <v>920</v>
      </c>
      <c r="T83" s="26"/>
      <c r="U83" s="26"/>
      <c r="V83" s="25">
        <v>920</v>
      </c>
      <c r="W83" s="26"/>
      <c r="X83" s="25">
        <v>552</v>
      </c>
      <c r="Y83" s="29">
        <f>T83+R83+Q83+U83+W83</f>
        <v>650</v>
      </c>
      <c r="Z83" s="27">
        <v>4600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41">
        <f>SUM(AM83:AS83)</f>
        <v>28</v>
      </c>
      <c r="AM83" s="41"/>
      <c r="AN83" s="49">
        <v>0</v>
      </c>
      <c r="AO83" s="49">
        <v>28</v>
      </c>
      <c r="AP83" s="49"/>
      <c r="AQ83" s="49"/>
      <c r="AR83" s="49"/>
      <c r="AS83" s="49"/>
      <c r="AT83" s="43"/>
      <c r="AU83" s="43"/>
      <c r="AV83" s="26"/>
      <c r="AW83" s="26"/>
      <c r="AX83" s="43"/>
      <c r="AY83" s="29">
        <f>Y83-AV83-AX83-AW83</f>
        <v>650</v>
      </c>
      <c r="AZ83" s="29">
        <f ca="1">'Layout for shadhous 1&amp;2'!F67</f>
        <v>650</v>
      </c>
      <c r="BA83" s="26">
        <f>AL83+AG83+AA83+AT83</f>
        <v>28</v>
      </c>
      <c r="BB83" s="30">
        <f>BD83+AO83+AG83</f>
        <v>650</v>
      </c>
      <c r="BC83" s="30">
        <f>BD83+AS83</f>
        <v>622</v>
      </c>
      <c r="BD83" s="30">
        <f>IF(BA83&gt;0,Y83-BA83,BA83)</f>
        <v>622</v>
      </c>
      <c r="BE83" s="31">
        <v>20</v>
      </c>
      <c r="BF83" s="30" t="s">
        <v>76</v>
      </c>
      <c r="BG83" s="31">
        <f>BE83*Q83</f>
        <v>13000</v>
      </c>
      <c r="BH83" s="31">
        <f>BE83*R83*0.4</f>
        <v>0</v>
      </c>
      <c r="BI83" s="142">
        <f>BE83*T83</f>
        <v>0</v>
      </c>
      <c r="BJ83" s="142">
        <f>BE83*U83*0.4</f>
        <v>0</v>
      </c>
      <c r="BK83" s="32">
        <f>Y83*BE83</f>
        <v>13000</v>
      </c>
      <c r="BL83" s="25">
        <v>552</v>
      </c>
      <c r="BM83" s="25">
        <v>552</v>
      </c>
      <c r="BN83" s="25">
        <v>552</v>
      </c>
      <c r="BO83" s="25">
        <v>552</v>
      </c>
      <c r="BP83" s="25">
        <f>BE83*AV83</f>
        <v>0</v>
      </c>
      <c r="BQ83" s="25">
        <f>BE83*AX83</f>
        <v>0</v>
      </c>
      <c r="BR83" s="43">
        <v>21</v>
      </c>
    </row>
    <row r="84" spans="1:70" s="6" customFormat="1" ht="41.25" customHeight="1">
      <c r="A84" s="18">
        <v>81</v>
      </c>
      <c r="B84" s="18" t="s">
        <v>191</v>
      </c>
      <c r="C84" s="18" t="s">
        <v>192</v>
      </c>
      <c r="D84" s="21" t="s">
        <v>50</v>
      </c>
      <c r="E84" s="22" t="s">
        <v>751</v>
      </c>
      <c r="F84" s="52" t="s">
        <v>123</v>
      </c>
      <c r="G84" s="52" t="s">
        <v>123</v>
      </c>
      <c r="H84" s="22">
        <v>150</v>
      </c>
      <c r="I84" s="22">
        <v>250</v>
      </c>
      <c r="J84" s="22"/>
      <c r="K84" s="22"/>
      <c r="L84" s="22"/>
      <c r="M84" s="23"/>
      <c r="N84" s="22" t="s">
        <v>752</v>
      </c>
      <c r="O84" s="23"/>
      <c r="P84" s="38" t="s">
        <v>56</v>
      </c>
      <c r="Q84" s="148">
        <f>1444+25</f>
        <v>1469</v>
      </c>
      <c r="R84" s="72"/>
      <c r="S84" s="40">
        <v>1820</v>
      </c>
      <c r="T84" s="26"/>
      <c r="U84" s="26"/>
      <c r="V84" s="25">
        <v>1820</v>
      </c>
      <c r="W84" s="26"/>
      <c r="X84" s="25">
        <v>1092</v>
      </c>
      <c r="Y84" s="29">
        <f>T84+R84+Q84+U84+W84</f>
        <v>1469</v>
      </c>
      <c r="Z84" s="27">
        <v>9100</v>
      </c>
      <c r="AA84" s="64">
        <f>SUBTOTAL(9,AB84:AF84)</f>
        <v>279</v>
      </c>
      <c r="AB84" s="64">
        <v>59</v>
      </c>
      <c r="AC84" s="64">
        <v>72</v>
      </c>
      <c r="AD84" s="64">
        <v>63</v>
      </c>
      <c r="AE84" s="64">
        <v>85</v>
      </c>
      <c r="AF84" s="26"/>
      <c r="AG84" s="57">
        <v>73</v>
      </c>
      <c r="AH84" s="26"/>
      <c r="AI84" s="26"/>
      <c r="AJ84" s="26"/>
      <c r="AK84" s="57">
        <v>73</v>
      </c>
      <c r="AL84" s="26">
        <f>SUM(AM84:AS84)</f>
        <v>0</v>
      </c>
      <c r="AM84" s="26"/>
      <c r="AN84" s="26"/>
      <c r="AO84" s="26"/>
      <c r="AP84" s="26"/>
      <c r="AQ84" s="26"/>
      <c r="AR84" s="26"/>
      <c r="AS84" s="26"/>
      <c r="AT84" s="28"/>
      <c r="AU84" s="28"/>
      <c r="AV84" s="26"/>
      <c r="AW84" s="64">
        <f>59+72+63+85</f>
        <v>279</v>
      </c>
      <c r="AX84" s="28"/>
      <c r="AY84" s="29">
        <f>Y84-AV84-AX84-AW84</f>
        <v>1190</v>
      </c>
      <c r="AZ84" s="29">
        <f>'Layout for shadhous 3'!M53</f>
        <v>1190</v>
      </c>
      <c r="BA84" s="26">
        <f>AL84+AG84+AA84+AT84</f>
        <v>352</v>
      </c>
      <c r="BB84" s="30">
        <f>BD84+AO84+AG84</f>
        <v>1190</v>
      </c>
      <c r="BC84" s="30">
        <f>BD84+AS84</f>
        <v>1117</v>
      </c>
      <c r="BD84" s="30">
        <f>IF(BA84&gt;0,Y84-BA84,BA84)</f>
        <v>1117</v>
      </c>
      <c r="BE84" s="31">
        <v>11</v>
      </c>
      <c r="BF84" s="30" t="s">
        <v>76</v>
      </c>
      <c r="BG84" s="31">
        <f>BE84*Q84</f>
        <v>16159</v>
      </c>
      <c r="BH84" s="31">
        <f>BE84*R84*0.4</f>
        <v>0</v>
      </c>
      <c r="BI84" s="31">
        <f>BE84*T84</f>
        <v>0</v>
      </c>
      <c r="BJ84" s="31">
        <f>BE84*U84*0.4</f>
        <v>0</v>
      </c>
      <c r="BK84" s="32">
        <f>Y84*BE84</f>
        <v>16159</v>
      </c>
      <c r="BL84" s="25">
        <v>1092</v>
      </c>
      <c r="BM84" s="25">
        <v>1092</v>
      </c>
      <c r="BN84" s="25">
        <v>1092</v>
      </c>
      <c r="BO84" s="25">
        <v>1092</v>
      </c>
      <c r="BP84" s="25">
        <f>BE84*AV84</f>
        <v>0</v>
      </c>
      <c r="BQ84" s="25">
        <f>BE84*AX84</f>
        <v>0</v>
      </c>
      <c r="BR84" s="28"/>
    </row>
    <row r="85" spans="1:70" s="6" customFormat="1" ht="41.25" customHeight="1">
      <c r="A85" s="18">
        <v>82</v>
      </c>
      <c r="B85" s="18" t="s">
        <v>191</v>
      </c>
      <c r="C85" s="18" t="s">
        <v>192</v>
      </c>
      <c r="D85" s="21" t="s">
        <v>50</v>
      </c>
      <c r="E85" s="22" t="s">
        <v>751</v>
      </c>
      <c r="F85" s="52" t="s">
        <v>123</v>
      </c>
      <c r="G85" s="52" t="s">
        <v>123</v>
      </c>
      <c r="H85" s="22">
        <v>300</v>
      </c>
      <c r="I85" s="22">
        <v>500</v>
      </c>
      <c r="J85" s="22"/>
      <c r="K85" s="22"/>
      <c r="L85" s="22"/>
      <c r="M85" s="23"/>
      <c r="N85" s="22" t="s">
        <v>753</v>
      </c>
      <c r="O85" s="23"/>
      <c r="P85" s="38" t="s">
        <v>56</v>
      </c>
      <c r="Q85" s="29">
        <v>10000</v>
      </c>
      <c r="R85" s="29">
        <v>8620</v>
      </c>
      <c r="S85" s="40">
        <v>18620</v>
      </c>
      <c r="T85" s="63">
        <f>2103+4658+2338</f>
        <v>9099</v>
      </c>
      <c r="U85" s="26"/>
      <c r="V85" s="25">
        <v>18620</v>
      </c>
      <c r="W85" s="26"/>
      <c r="X85" s="25">
        <v>11172</v>
      </c>
      <c r="Y85" s="29">
        <f>T85+R85+Q85+U85+W85</f>
        <v>27719</v>
      </c>
      <c r="Z85" s="27">
        <v>93100</v>
      </c>
      <c r="AA85" s="68"/>
      <c r="AB85" s="68"/>
      <c r="AC85" s="68"/>
      <c r="AD85" s="68"/>
      <c r="AE85" s="68"/>
      <c r="AF85" s="68"/>
      <c r="AG85" s="26"/>
      <c r="AH85" s="26"/>
      <c r="AI85" s="26"/>
      <c r="AJ85" s="26"/>
      <c r="AK85" s="26"/>
      <c r="AL85" s="41">
        <f>SUM(AM85:AS85)</f>
        <v>14705</v>
      </c>
      <c r="AM85" s="41">
        <v>9175</v>
      </c>
      <c r="AN85" s="49">
        <v>1868</v>
      </c>
      <c r="AO85" s="49">
        <v>3662</v>
      </c>
      <c r="AP85" s="49"/>
      <c r="AQ85" s="49"/>
      <c r="AR85" s="49"/>
      <c r="AS85" s="49"/>
      <c r="AT85" s="43"/>
      <c r="AU85" s="43"/>
      <c r="AV85" s="41">
        <f>99+700+500+71+1200+420+420+420+430+650+670+177+500+500+500+550+600+350+418</f>
        <v>9175</v>
      </c>
      <c r="AW85" s="68"/>
      <c r="AX85" s="43"/>
      <c r="AY85" s="29">
        <f>Y85-AV85-AX85-AW85</f>
        <v>18544</v>
      </c>
      <c r="AZ85" s="29">
        <f ca="1">'Layout for shadhous 3'!M54+'Layout for shadhous 1&amp;2'!F66</f>
        <v>18544</v>
      </c>
      <c r="BA85" s="26">
        <f>AL85+AG85+AA85+AT85</f>
        <v>14705</v>
      </c>
      <c r="BB85" s="30">
        <f>BD85+AO85+AG85</f>
        <v>16676</v>
      </c>
      <c r="BC85" s="30">
        <f>BD85+AS85</f>
        <v>13014</v>
      </c>
      <c r="BD85" s="30">
        <f>IF(BA85&gt;0,Y85-BA85,BA85)</f>
        <v>13014</v>
      </c>
      <c r="BE85" s="31">
        <v>11</v>
      </c>
      <c r="BF85" s="30" t="s">
        <v>76</v>
      </c>
      <c r="BG85" s="31">
        <f>BE85*Q85</f>
        <v>110000</v>
      </c>
      <c r="BH85" s="31">
        <f>BE85*R85*0.4</f>
        <v>37928</v>
      </c>
      <c r="BI85" s="142">
        <f>BE85*T85</f>
        <v>100089</v>
      </c>
      <c r="BJ85" s="142">
        <f>BE85*U85*0.4</f>
        <v>0</v>
      </c>
      <c r="BK85" s="32">
        <f>Y85*BE85</f>
        <v>304909</v>
      </c>
      <c r="BL85" s="25">
        <v>11172</v>
      </c>
      <c r="BM85" s="25">
        <v>11172</v>
      </c>
      <c r="BN85" s="25">
        <v>11172</v>
      </c>
      <c r="BO85" s="25">
        <v>11172</v>
      </c>
      <c r="BP85" s="25">
        <f>BE85*AV85</f>
        <v>100925</v>
      </c>
      <c r="BQ85" s="25">
        <f>BE85*AX85</f>
        <v>0</v>
      </c>
      <c r="BR85" s="43"/>
    </row>
    <row r="86" spans="1:70" s="6" customFormat="1" ht="41.25" customHeight="1">
      <c r="A86" s="18">
        <v>83</v>
      </c>
      <c r="B86" s="18" t="s">
        <v>48</v>
      </c>
      <c r="C86" s="18" t="s">
        <v>49</v>
      </c>
      <c r="D86" s="19" t="s">
        <v>50</v>
      </c>
      <c r="E86" s="22" t="s">
        <v>754</v>
      </c>
      <c r="F86" s="52" t="s">
        <v>123</v>
      </c>
      <c r="G86" s="52" t="s">
        <v>123</v>
      </c>
      <c r="H86" s="22">
        <v>150</v>
      </c>
      <c r="I86" s="22">
        <v>250</v>
      </c>
      <c r="J86" s="22"/>
      <c r="K86" s="22"/>
      <c r="L86" s="22" t="s">
        <v>119</v>
      </c>
      <c r="M86" s="23"/>
      <c r="N86" s="22" t="s">
        <v>755</v>
      </c>
      <c r="O86" s="23"/>
      <c r="P86" s="38" t="s">
        <v>56</v>
      </c>
      <c r="Q86" s="72"/>
      <c r="R86" s="72"/>
      <c r="S86" s="40">
        <v>2340</v>
      </c>
      <c r="T86" s="26"/>
      <c r="U86" s="26"/>
      <c r="V86" s="25">
        <v>2340</v>
      </c>
      <c r="W86" s="26"/>
      <c r="X86" s="25">
        <v>1404</v>
      </c>
      <c r="Y86" s="26">
        <f>T86+R86+Q86+U86+W86</f>
        <v>0</v>
      </c>
      <c r="Z86" s="27">
        <v>11700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41">
        <f>SUM(AM86:AS86)</f>
        <v>384</v>
      </c>
      <c r="AM86" s="26"/>
      <c r="AN86" s="49">
        <v>0</v>
      </c>
      <c r="AO86" s="49">
        <v>384</v>
      </c>
      <c r="AP86" s="49"/>
      <c r="AQ86" s="49"/>
      <c r="AR86" s="49"/>
      <c r="AS86" s="49"/>
      <c r="AT86" s="43"/>
      <c r="AU86" s="43"/>
      <c r="AV86" s="26"/>
      <c r="AW86" s="26"/>
      <c r="AX86" s="43"/>
      <c r="AY86" s="72">
        <f>Y86-AV86-AX86-AW86</f>
        <v>0</v>
      </c>
      <c r="AZ86" s="68"/>
      <c r="BA86" s="26">
        <f>AL86+AG86+AA86+AT86</f>
        <v>384</v>
      </c>
      <c r="BB86" s="30">
        <f>BD86+AO86+AG86</f>
        <v>0</v>
      </c>
      <c r="BC86" s="30">
        <f>BD86+AS86</f>
        <v>-384</v>
      </c>
      <c r="BD86" s="30">
        <f>IF(BA86&gt;0,Y86-BA86,BA86)</f>
        <v>-384</v>
      </c>
      <c r="BE86" s="31">
        <v>7</v>
      </c>
      <c r="BF86" s="30" t="s">
        <v>76</v>
      </c>
      <c r="BG86" s="31">
        <f>BE86*Q86</f>
        <v>0</v>
      </c>
      <c r="BH86" s="31">
        <f>BE86*R86*0.4</f>
        <v>0</v>
      </c>
      <c r="BI86" s="31">
        <f>BE86*T86</f>
        <v>0</v>
      </c>
      <c r="BJ86" s="31">
        <f>BE86*U86*0.4</f>
        <v>0</v>
      </c>
      <c r="BK86" s="32">
        <f>Y86*BE86</f>
        <v>0</v>
      </c>
      <c r="BL86" s="25">
        <v>1404</v>
      </c>
      <c r="BM86" s="25">
        <v>1404</v>
      </c>
      <c r="BN86" s="25">
        <v>1404</v>
      </c>
      <c r="BO86" s="25">
        <v>1404</v>
      </c>
      <c r="BP86" s="25">
        <f>BE86*AV86</f>
        <v>0</v>
      </c>
      <c r="BQ86" s="25">
        <f>BE86*AX86</f>
        <v>0</v>
      </c>
      <c r="BR86" s="43"/>
    </row>
    <row r="87" spans="1:70" s="6" customFormat="1" ht="41.25" customHeight="1">
      <c r="A87" s="18">
        <v>84</v>
      </c>
      <c r="B87" s="50" t="s">
        <v>66</v>
      </c>
      <c r="C87" s="44" t="s">
        <v>139</v>
      </c>
      <c r="D87" s="56" t="s">
        <v>50</v>
      </c>
      <c r="E87" s="50" t="s">
        <v>763</v>
      </c>
      <c r="F87" s="52" t="s">
        <v>123</v>
      </c>
      <c r="G87" s="52" t="s">
        <v>123</v>
      </c>
      <c r="H87" s="50">
        <v>300</v>
      </c>
      <c r="I87" s="50">
        <v>500</v>
      </c>
      <c r="J87" s="50"/>
      <c r="K87" s="50"/>
      <c r="L87" s="50"/>
      <c r="M87" s="23"/>
      <c r="N87" s="22" t="s">
        <v>764</v>
      </c>
      <c r="O87" s="23" t="s">
        <v>765</v>
      </c>
      <c r="P87" s="18" t="s">
        <v>56</v>
      </c>
      <c r="Q87" s="29">
        <v>2120</v>
      </c>
      <c r="R87" s="72"/>
      <c r="S87" s="25">
        <v>2120</v>
      </c>
      <c r="T87" s="29">
        <v>2120</v>
      </c>
      <c r="U87" s="26"/>
      <c r="V87" s="25">
        <v>2120</v>
      </c>
      <c r="W87" s="29">
        <v>704</v>
      </c>
      <c r="X87" s="25">
        <v>1272</v>
      </c>
      <c r="Y87" s="29">
        <f>T87+R87+Q87+U87+W87</f>
        <v>4944</v>
      </c>
      <c r="Z87" s="27">
        <v>10600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41">
        <f>SUM(AM87:AS87)</f>
        <v>88</v>
      </c>
      <c r="AM87" s="41">
        <v>88</v>
      </c>
      <c r="AN87" s="49">
        <v>0</v>
      </c>
      <c r="AO87" s="49"/>
      <c r="AP87" s="49"/>
      <c r="AQ87" s="49"/>
      <c r="AR87" s="49"/>
      <c r="AS87" s="49"/>
      <c r="AT87" s="43"/>
      <c r="AU87" s="43"/>
      <c r="AV87" s="41">
        <f>57+31</f>
        <v>88</v>
      </c>
      <c r="AW87" s="26"/>
      <c r="AX87" s="43"/>
      <c r="AY87" s="29">
        <f>Y87-AV87-AX87-AW87</f>
        <v>4856</v>
      </c>
      <c r="AZ87" s="29">
        <f>'Layout for trees right'!I26+'Layout for shadhous 3'!Q56</f>
        <v>4856</v>
      </c>
      <c r="BA87" s="26">
        <f>AL87+AG87+AA87+AT87</f>
        <v>88</v>
      </c>
      <c r="BB87" s="30">
        <f>BD87+AO87+AG87</f>
        <v>4856</v>
      </c>
      <c r="BC87" s="30">
        <f>BD87+AS87</f>
        <v>4856</v>
      </c>
      <c r="BD87" s="30">
        <f>IF(BA87&gt;0,Y87-BA87,BA87)</f>
        <v>4856</v>
      </c>
      <c r="BE87" s="31">
        <v>30</v>
      </c>
      <c r="BF87" s="30" t="s">
        <v>76</v>
      </c>
      <c r="BG87" s="31">
        <f>BE87*Q87</f>
        <v>63600</v>
      </c>
      <c r="BH87" s="31">
        <f>BE87*R87*0.4</f>
        <v>0</v>
      </c>
      <c r="BI87" s="31">
        <f>BE87*T87</f>
        <v>63600</v>
      </c>
      <c r="BJ87" s="31">
        <f>BE87*U87*0.4</f>
        <v>0</v>
      </c>
      <c r="BK87" s="32">
        <f>Y87*BE87</f>
        <v>148320</v>
      </c>
      <c r="BL87" s="25">
        <v>1272</v>
      </c>
      <c r="BM87" s="25">
        <v>1272</v>
      </c>
      <c r="BN87" s="25">
        <v>1272</v>
      </c>
      <c r="BO87" s="25">
        <v>1272</v>
      </c>
      <c r="BP87" s="25">
        <f>BE87*AV87</f>
        <v>2640</v>
      </c>
      <c r="BQ87" s="25">
        <f>BE87*AX87</f>
        <v>0</v>
      </c>
      <c r="BR87" s="43"/>
    </row>
    <row r="88" spans="1:70" s="6" customFormat="1" ht="41.25" customHeight="1">
      <c r="A88" s="18">
        <v>85</v>
      </c>
      <c r="B88" s="18" t="s">
        <v>191</v>
      </c>
      <c r="C88" s="18" t="s">
        <v>192</v>
      </c>
      <c r="D88" s="21" t="s">
        <v>50</v>
      </c>
      <c r="E88" s="22" t="s">
        <v>769</v>
      </c>
      <c r="F88" s="52" t="s">
        <v>123</v>
      </c>
      <c r="G88" s="52" t="s">
        <v>123</v>
      </c>
      <c r="H88" s="22">
        <v>500</v>
      </c>
      <c r="I88" s="22">
        <v>1000</v>
      </c>
      <c r="J88" s="22"/>
      <c r="K88" s="22"/>
      <c r="L88" s="22"/>
      <c r="M88" s="23"/>
      <c r="N88" s="22" t="s">
        <v>770</v>
      </c>
      <c r="O88" s="23"/>
      <c r="P88" s="18" t="s">
        <v>56</v>
      </c>
      <c r="Q88" s="88">
        <v>90</v>
      </c>
      <c r="R88" s="72"/>
      <c r="S88" s="25">
        <v>200</v>
      </c>
      <c r="T88" s="26"/>
      <c r="U88" s="26"/>
      <c r="V88" s="25">
        <v>200</v>
      </c>
      <c r="W88" s="26"/>
      <c r="X88" s="25">
        <v>120</v>
      </c>
      <c r="Y88" s="53">
        <f>T88+R88+Q88+U88+W88</f>
        <v>90</v>
      </c>
      <c r="Z88" s="27">
        <v>1000</v>
      </c>
      <c r="AA88" s="26"/>
      <c r="AB88" s="26"/>
      <c r="AC88" s="26"/>
      <c r="AD88" s="26"/>
      <c r="AE88" s="26"/>
      <c r="AF88" s="26"/>
      <c r="AG88" s="57">
        <f>SUBTOTAL(9,AH88:AK88)</f>
        <v>18</v>
      </c>
      <c r="AH88" s="26"/>
      <c r="AI88" s="57">
        <v>18</v>
      </c>
      <c r="AJ88" s="26"/>
      <c r="AK88" s="26"/>
      <c r="AL88" s="26">
        <f>SUM(AM88:AS88)</f>
        <v>0</v>
      </c>
      <c r="AM88" s="26"/>
      <c r="AN88" s="26"/>
      <c r="AO88" s="26"/>
      <c r="AP88" s="26"/>
      <c r="AQ88" s="26"/>
      <c r="AR88" s="26"/>
      <c r="AS88" s="26"/>
      <c r="AT88" s="28"/>
      <c r="AU88" s="28"/>
      <c r="AV88" s="26"/>
      <c r="AW88" s="26"/>
      <c r="AX88" s="28"/>
      <c r="AY88" s="29">
        <f>Y88-AV88-AX88-AW88</f>
        <v>90</v>
      </c>
      <c r="AZ88" s="29">
        <f ca="1">'Layout for shadhous 1&amp;2'!F71</f>
        <v>90</v>
      </c>
      <c r="BA88" s="26">
        <f>AL88+AG88+AA88+AT88</f>
        <v>18</v>
      </c>
      <c r="BB88" s="30">
        <f>BD88+AO88+AG88</f>
        <v>90</v>
      </c>
      <c r="BC88" s="30">
        <f>BD88+AS88</f>
        <v>72</v>
      </c>
      <c r="BD88" s="30">
        <f>IF(BA88&gt;0,Y88-BA88,BA88)</f>
        <v>72</v>
      </c>
      <c r="BE88" s="31">
        <v>30</v>
      </c>
      <c r="BF88" s="30" t="s">
        <v>76</v>
      </c>
      <c r="BG88" s="31">
        <f>BE88*Q88</f>
        <v>2700</v>
      </c>
      <c r="BH88" s="31">
        <f>BE88*R88*0.4</f>
        <v>0</v>
      </c>
      <c r="BI88" s="142">
        <f>BE88*T88</f>
        <v>0</v>
      </c>
      <c r="BJ88" s="142">
        <f>BE88*U88*0.4</f>
        <v>0</v>
      </c>
      <c r="BK88" s="32">
        <f>Y88*BE88</f>
        <v>2700</v>
      </c>
      <c r="BL88" s="25">
        <v>120</v>
      </c>
      <c r="BM88" s="25">
        <v>120</v>
      </c>
      <c r="BN88" s="25">
        <v>120</v>
      </c>
      <c r="BO88" s="25">
        <v>120</v>
      </c>
      <c r="BP88" s="25">
        <f>BE88*AV88</f>
        <v>0</v>
      </c>
      <c r="BQ88" s="25">
        <f>BE88*AX88</f>
        <v>0</v>
      </c>
      <c r="BR88" s="28"/>
    </row>
    <row r="89" spans="1:70" s="6" customFormat="1" ht="41.25" customHeight="1">
      <c r="A89" s="18">
        <v>86</v>
      </c>
      <c r="B89" s="18" t="s">
        <v>191</v>
      </c>
      <c r="C89" s="18" t="s">
        <v>192</v>
      </c>
      <c r="D89" s="21" t="s">
        <v>50</v>
      </c>
      <c r="E89" s="22" t="s">
        <v>769</v>
      </c>
      <c r="F89" s="52" t="s">
        <v>123</v>
      </c>
      <c r="G89" s="52" t="s">
        <v>123</v>
      </c>
      <c r="H89" s="22">
        <v>120</v>
      </c>
      <c r="I89" s="22">
        <v>200</v>
      </c>
      <c r="J89" s="22"/>
      <c r="K89" s="22"/>
      <c r="L89" s="22" t="s">
        <v>119</v>
      </c>
      <c r="M89" s="23"/>
      <c r="N89" s="22" t="s">
        <v>771</v>
      </c>
      <c r="O89" s="23" t="s">
        <v>772</v>
      </c>
      <c r="P89" s="18" t="s">
        <v>56</v>
      </c>
      <c r="Q89" s="72"/>
      <c r="R89" s="72"/>
      <c r="S89" s="25">
        <v>260</v>
      </c>
      <c r="T89" s="26"/>
      <c r="U89" s="26"/>
      <c r="V89" s="25">
        <v>260</v>
      </c>
      <c r="W89" s="26"/>
      <c r="X89" s="25">
        <v>156</v>
      </c>
      <c r="Y89" s="26">
        <f>T89+R89+Q89+U89+W89</f>
        <v>0</v>
      </c>
      <c r="Z89" s="27">
        <v>1300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>
        <f>SUM(AM89:AS89)</f>
        <v>0</v>
      </c>
      <c r="AM89" s="26"/>
      <c r="AN89" s="26"/>
      <c r="AO89" s="26"/>
      <c r="AP89" s="26"/>
      <c r="AQ89" s="26"/>
      <c r="AR89" s="26"/>
      <c r="AS89" s="26"/>
      <c r="AT89" s="28"/>
      <c r="AU89" s="28"/>
      <c r="AV89" s="26"/>
      <c r="AW89" s="26"/>
      <c r="AX89" s="28"/>
      <c r="AY89" s="72">
        <f>Y89-AV89-AX89-AW89</f>
        <v>0</v>
      </c>
      <c r="AZ89" s="68"/>
      <c r="BA89" s="26">
        <f>AL89+AG89+AA89+AT89</f>
        <v>0</v>
      </c>
      <c r="BB89" s="30">
        <f>BD89+AO89+AG89</f>
        <v>0</v>
      </c>
      <c r="BC89" s="30">
        <f>BD89+AS89</f>
        <v>0</v>
      </c>
      <c r="BD89" s="30">
        <f>IF(BA89&gt;0,Y89-BA89,BA89)</f>
        <v>0</v>
      </c>
      <c r="BE89" s="31">
        <v>7</v>
      </c>
      <c r="BF89" s="30" t="s">
        <v>76</v>
      </c>
      <c r="BG89" s="31">
        <f>BE89*Q89</f>
        <v>0</v>
      </c>
      <c r="BH89" s="31">
        <f>BE89*R89*0.4</f>
        <v>0</v>
      </c>
      <c r="BI89" s="142">
        <f>BE89*T89</f>
        <v>0</v>
      </c>
      <c r="BJ89" s="142">
        <f>BE89*U89*0.4</f>
        <v>0</v>
      </c>
      <c r="BK89" s="32">
        <f>Y89*BE89</f>
        <v>0</v>
      </c>
      <c r="BL89" s="25">
        <v>156</v>
      </c>
      <c r="BM89" s="25">
        <v>156</v>
      </c>
      <c r="BN89" s="25">
        <v>156</v>
      </c>
      <c r="BO89" s="25">
        <v>156</v>
      </c>
      <c r="BP89" s="25">
        <f>BE89*AV89</f>
        <v>0</v>
      </c>
      <c r="BQ89" s="25">
        <f>BE89*AX89</f>
        <v>0</v>
      </c>
      <c r="BR89" s="28"/>
    </row>
    <row r="90" spans="1:70" s="6" customFormat="1" ht="41.25" customHeight="1">
      <c r="A90" s="18">
        <v>87</v>
      </c>
      <c r="B90" s="18" t="s">
        <v>191</v>
      </c>
      <c r="C90" s="18" t="s">
        <v>426</v>
      </c>
      <c r="D90" s="36" t="s">
        <v>68</v>
      </c>
      <c r="E90" s="22" t="s">
        <v>786</v>
      </c>
      <c r="F90" s="36" t="s">
        <v>70</v>
      </c>
      <c r="G90" s="36" t="s">
        <v>70</v>
      </c>
      <c r="H90" s="22"/>
      <c r="I90" s="37" t="s">
        <v>104</v>
      </c>
      <c r="J90" s="37"/>
      <c r="K90" s="37"/>
      <c r="L90" s="22" t="s">
        <v>119</v>
      </c>
      <c r="M90" s="23"/>
      <c r="N90" s="114" t="s">
        <v>787</v>
      </c>
      <c r="O90" s="23"/>
      <c r="P90" s="18" t="s">
        <v>56</v>
      </c>
      <c r="Q90" s="72"/>
      <c r="R90" s="72"/>
      <c r="S90" s="25">
        <v>170</v>
      </c>
      <c r="T90" s="26"/>
      <c r="U90" s="26"/>
      <c r="V90" s="25">
        <v>102</v>
      </c>
      <c r="W90" s="26"/>
      <c r="X90" s="25">
        <v>102</v>
      </c>
      <c r="Y90" s="26">
        <f>T90+R90+Q90+U90+W90</f>
        <v>0</v>
      </c>
      <c r="Z90" s="27">
        <v>850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>
        <f>SUM(AM90:AS90)</f>
        <v>0</v>
      </c>
      <c r="AM90" s="26"/>
      <c r="AN90" s="26"/>
      <c r="AO90" s="26"/>
      <c r="AP90" s="26"/>
      <c r="AQ90" s="26"/>
      <c r="AR90" s="26"/>
      <c r="AS90" s="26"/>
      <c r="AT90" s="28"/>
      <c r="AU90" s="28"/>
      <c r="AV90" s="26"/>
      <c r="AW90" s="26"/>
      <c r="AX90" s="28"/>
      <c r="AY90" s="72">
        <f>Y90-AV90-AX90-AW90</f>
        <v>0</v>
      </c>
      <c r="AZ90" s="68"/>
      <c r="BA90" s="26">
        <f>AL90+AG90+AA90+AT90</f>
        <v>0</v>
      </c>
      <c r="BB90" s="30">
        <f>BD90+AO90+AG90</f>
        <v>0</v>
      </c>
      <c r="BC90" s="30">
        <f>BD90+AS90</f>
        <v>0</v>
      </c>
      <c r="BD90" s="30">
        <f>IF(BA90&gt;0,Y90-BA90,BA90)</f>
        <v>0</v>
      </c>
      <c r="BE90" s="31">
        <v>154</v>
      </c>
      <c r="BF90" s="30" t="s">
        <v>76</v>
      </c>
      <c r="BG90" s="31">
        <f>BE90*Q90</f>
        <v>0</v>
      </c>
      <c r="BH90" s="31">
        <f>BE90*R90*0.4</f>
        <v>0</v>
      </c>
      <c r="BI90" s="142">
        <f>BE90*T90</f>
        <v>0</v>
      </c>
      <c r="BJ90" s="142">
        <f>BE90*U90*0.4</f>
        <v>0</v>
      </c>
      <c r="BK90" s="32">
        <f>Y90*BE90</f>
        <v>0</v>
      </c>
      <c r="BL90" s="25">
        <v>102</v>
      </c>
      <c r="BM90" s="25">
        <v>102</v>
      </c>
      <c r="BN90" s="25">
        <v>102</v>
      </c>
      <c r="BO90" s="25">
        <v>170</v>
      </c>
      <c r="BP90" s="25">
        <f>BE90*AV90</f>
        <v>0</v>
      </c>
      <c r="BQ90" s="25">
        <f>BE90*AX90</f>
        <v>0</v>
      </c>
      <c r="BR90" s="28"/>
    </row>
    <row r="91" spans="1:70" s="6" customFormat="1" ht="41.25" customHeight="1">
      <c r="A91" s="18">
        <v>88</v>
      </c>
      <c r="B91" s="18" t="s">
        <v>48</v>
      </c>
      <c r="C91" s="18" t="s">
        <v>81</v>
      </c>
      <c r="D91" s="36" t="s">
        <v>68</v>
      </c>
      <c r="E91" s="22" t="s">
        <v>788</v>
      </c>
      <c r="F91" s="36" t="s">
        <v>70</v>
      </c>
      <c r="G91" s="36" t="s">
        <v>70</v>
      </c>
      <c r="H91" s="22"/>
      <c r="I91" s="37" t="s">
        <v>104</v>
      </c>
      <c r="J91" s="37"/>
      <c r="K91" s="37"/>
      <c r="L91" s="22"/>
      <c r="M91" s="23" t="s">
        <v>301</v>
      </c>
      <c r="N91" s="22" t="s">
        <v>789</v>
      </c>
      <c r="O91" s="23"/>
      <c r="P91" s="38" t="s">
        <v>56</v>
      </c>
      <c r="Q91" s="29">
        <v>174</v>
      </c>
      <c r="R91" s="72"/>
      <c r="S91" s="40">
        <v>174</v>
      </c>
      <c r="T91" s="29">
        <v>85</v>
      </c>
      <c r="U91" s="96"/>
      <c r="V91" s="25">
        <v>104</v>
      </c>
      <c r="W91" s="26"/>
      <c r="X91" s="25">
        <v>104</v>
      </c>
      <c r="Y91" s="29">
        <f>T91+R91+Q91+U91+W91</f>
        <v>259</v>
      </c>
      <c r="Z91" s="27">
        <v>870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41">
        <f>SUM(AM91:AS91)</f>
        <v>24</v>
      </c>
      <c r="AM91" s="41">
        <v>16</v>
      </c>
      <c r="AN91" s="42">
        <v>0</v>
      </c>
      <c r="AO91" s="42">
        <v>8</v>
      </c>
      <c r="AP91" s="42"/>
      <c r="AQ91" s="42"/>
      <c r="AR91" s="42"/>
      <c r="AS91" s="42"/>
      <c r="AT91" s="43"/>
      <c r="AU91" s="43"/>
      <c r="AV91" s="41">
        <v>16</v>
      </c>
      <c r="AW91" s="26"/>
      <c r="AX91" s="43"/>
      <c r="AY91" s="29">
        <f>Y91-AV91-AX91-AW91</f>
        <v>243</v>
      </c>
      <c r="AZ91" s="29">
        <f>'Layout for trees left'!U11</f>
        <v>243</v>
      </c>
      <c r="BA91" s="26">
        <f>AL91+AG91+AA91+AT91</f>
        <v>24</v>
      </c>
      <c r="BB91" s="30">
        <f>BD91+AO91+AG91</f>
        <v>243</v>
      </c>
      <c r="BC91" s="30">
        <f>BD91+AS91</f>
        <v>235</v>
      </c>
      <c r="BD91" s="30">
        <f>IF(BA91&gt;0,Y91-BA91,BA91)</f>
        <v>235</v>
      </c>
      <c r="BE91" s="31">
        <v>155</v>
      </c>
      <c r="BF91" s="30" t="s">
        <v>76</v>
      </c>
      <c r="BG91" s="31">
        <f>BE91*Q91</f>
        <v>26970</v>
      </c>
      <c r="BH91" s="31">
        <f>BE91*R91*0.4</f>
        <v>0</v>
      </c>
      <c r="BI91" s="142">
        <f>BE91*T91</f>
        <v>13175</v>
      </c>
      <c r="BJ91" s="142">
        <f>BE91*U91*0.4</f>
        <v>0</v>
      </c>
      <c r="BK91" s="32">
        <f>Y91*BE91</f>
        <v>40145</v>
      </c>
      <c r="BL91" s="25">
        <v>104</v>
      </c>
      <c r="BM91" s="25">
        <v>104</v>
      </c>
      <c r="BN91" s="25">
        <v>104</v>
      </c>
      <c r="BO91" s="25">
        <v>176</v>
      </c>
      <c r="BP91" s="25">
        <f>BE91*AV91</f>
        <v>2480</v>
      </c>
      <c r="BQ91" s="25">
        <f>BE91*AX91</f>
        <v>0</v>
      </c>
      <c r="BR91" s="43"/>
    </row>
    <row r="92" spans="1:70" s="6" customFormat="1" ht="41.25" customHeight="1">
      <c r="A92" s="18">
        <v>89</v>
      </c>
      <c r="B92" s="18" t="s">
        <v>191</v>
      </c>
      <c r="C92" s="18" t="s">
        <v>192</v>
      </c>
      <c r="D92" s="21" t="s">
        <v>50</v>
      </c>
      <c r="E92" s="22" t="s">
        <v>793</v>
      </c>
      <c r="F92" s="52" t="s">
        <v>123</v>
      </c>
      <c r="G92" s="52" t="s">
        <v>123</v>
      </c>
      <c r="H92" s="22">
        <v>200</v>
      </c>
      <c r="I92" s="22">
        <v>300</v>
      </c>
      <c r="J92" s="22"/>
      <c r="K92" s="22"/>
      <c r="L92" s="22" t="s">
        <v>119</v>
      </c>
      <c r="M92" s="23"/>
      <c r="N92" s="22" t="s">
        <v>794</v>
      </c>
      <c r="O92" s="23" t="s">
        <v>795</v>
      </c>
      <c r="P92" s="18" t="s">
        <v>56</v>
      </c>
      <c r="Q92" s="144"/>
      <c r="R92" s="144"/>
      <c r="S92" s="25">
        <v>260</v>
      </c>
      <c r="T92" s="26"/>
      <c r="U92" s="26"/>
      <c r="V92" s="25">
        <v>260</v>
      </c>
      <c r="W92" s="26"/>
      <c r="X92" s="25">
        <v>156</v>
      </c>
      <c r="Y92" s="26">
        <f>T92+R92+Q92+U92+W92</f>
        <v>0</v>
      </c>
      <c r="Z92" s="27">
        <v>1300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>
        <f>SUM(AM92:AS92)</f>
        <v>0</v>
      </c>
      <c r="AM92" s="26"/>
      <c r="AN92" s="26"/>
      <c r="AO92" s="26"/>
      <c r="AP92" s="26"/>
      <c r="AQ92" s="26"/>
      <c r="AR92" s="26"/>
      <c r="AS92" s="26"/>
      <c r="AT92" s="28"/>
      <c r="AU92" s="28"/>
      <c r="AV92" s="26"/>
      <c r="AW92" s="26"/>
      <c r="AX92" s="28"/>
      <c r="AY92" s="72">
        <f>Y92-AV92-AX92-AW92</f>
        <v>0</v>
      </c>
      <c r="AZ92" s="68"/>
      <c r="BA92" s="26">
        <f>AL92+AG92+AA92+AT92</f>
        <v>0</v>
      </c>
      <c r="BB92" s="30">
        <f>BD92+AO92+AG92</f>
        <v>0</v>
      </c>
      <c r="BC92" s="30">
        <f>BD92+AS92</f>
        <v>0</v>
      </c>
      <c r="BD92" s="30">
        <f>IF(BA92&gt;0,Y92-BA92,BA92)</f>
        <v>0</v>
      </c>
      <c r="BE92" s="31">
        <v>11</v>
      </c>
      <c r="BF92" s="30" t="s">
        <v>76</v>
      </c>
      <c r="BG92" s="31">
        <f>BE92*Q92</f>
        <v>0</v>
      </c>
      <c r="BH92" s="31">
        <f>BE92*R92*0.4</f>
        <v>0</v>
      </c>
      <c r="BI92" s="142">
        <f>BE92*T92</f>
        <v>0</v>
      </c>
      <c r="BJ92" s="142">
        <f>BE92*U92*0.4</f>
        <v>0</v>
      </c>
      <c r="BK92" s="32">
        <f>Y92*BE92</f>
        <v>0</v>
      </c>
      <c r="BL92" s="25">
        <v>156</v>
      </c>
      <c r="BM92" s="25">
        <v>156</v>
      </c>
      <c r="BN92" s="25">
        <v>156</v>
      </c>
      <c r="BO92" s="25">
        <v>156</v>
      </c>
      <c r="BP92" s="25">
        <f>BE92*AV92</f>
        <v>0</v>
      </c>
      <c r="BQ92" s="25">
        <f>BE92*AX92</f>
        <v>0</v>
      </c>
      <c r="BR92" s="28"/>
    </row>
    <row r="93" spans="1:70" s="6" customFormat="1" ht="41.25" customHeight="1">
      <c r="A93" s="18">
        <v>90</v>
      </c>
      <c r="B93" s="18" t="s">
        <v>58</v>
      </c>
      <c r="C93" s="18" t="s">
        <v>259</v>
      </c>
      <c r="D93" s="21" t="s">
        <v>50</v>
      </c>
      <c r="E93" s="22" t="s">
        <v>796</v>
      </c>
      <c r="F93" s="52" t="s">
        <v>123</v>
      </c>
      <c r="G93" s="52" t="s">
        <v>123</v>
      </c>
      <c r="H93" s="22">
        <v>200</v>
      </c>
      <c r="I93" s="22">
        <v>300</v>
      </c>
      <c r="J93" s="22"/>
      <c r="K93" s="22"/>
      <c r="L93" s="22"/>
      <c r="M93" s="23"/>
      <c r="N93" s="22" t="s">
        <v>797</v>
      </c>
      <c r="O93" s="23" t="s">
        <v>798</v>
      </c>
      <c r="P93" s="18" t="s">
        <v>56</v>
      </c>
      <c r="Q93" s="88">
        <v>200</v>
      </c>
      <c r="R93" s="144"/>
      <c r="S93" s="25">
        <v>620</v>
      </c>
      <c r="T93" s="26"/>
      <c r="U93" s="26"/>
      <c r="V93" s="25">
        <v>620</v>
      </c>
      <c r="W93" s="26"/>
      <c r="X93" s="25">
        <v>372</v>
      </c>
      <c r="Y93" s="29">
        <f>T93+R93+Q93+U93+W93</f>
        <v>200</v>
      </c>
      <c r="Z93" s="27">
        <v>3100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>
        <f>SUM(AM93:AS93)</f>
        <v>0</v>
      </c>
      <c r="AM93" s="26"/>
      <c r="AN93" s="78"/>
      <c r="AO93" s="78"/>
      <c r="AP93" s="78"/>
      <c r="AQ93" s="78"/>
      <c r="AR93" s="78"/>
      <c r="AS93" s="78"/>
      <c r="AT93" s="43"/>
      <c r="AU93" s="43"/>
      <c r="AV93" s="26"/>
      <c r="AW93" s="26"/>
      <c r="AX93" s="43"/>
      <c r="AY93" s="29">
        <f>Y93-AV93-AX93-AW93</f>
        <v>200</v>
      </c>
      <c r="AZ93" s="29">
        <f ca="1">'Layout for shadhous 1&amp;2'!I54</f>
        <v>200</v>
      </c>
      <c r="BA93" s="26">
        <f>AL93+AG93+AA93+AT93</f>
        <v>0</v>
      </c>
      <c r="BB93" s="30">
        <f>BD93+AO93+AG93</f>
        <v>0</v>
      </c>
      <c r="BC93" s="30">
        <f>BD93+AS93</f>
        <v>0</v>
      </c>
      <c r="BD93" s="30">
        <f>IF(BA93&gt;0,Y93-BA93,BA93)</f>
        <v>0</v>
      </c>
      <c r="BE93" s="31">
        <v>7</v>
      </c>
      <c r="BF93" s="30" t="s">
        <v>76</v>
      </c>
      <c r="BG93" s="31">
        <f>BE93*Q93</f>
        <v>1400</v>
      </c>
      <c r="BH93" s="31">
        <f>BE93*R93*0.4</f>
        <v>0</v>
      </c>
      <c r="BI93" s="142">
        <f>BE93*T93</f>
        <v>0</v>
      </c>
      <c r="BJ93" s="142">
        <f>BE93*U93*0.4</f>
        <v>0</v>
      </c>
      <c r="BK93" s="32">
        <f>Y93*BE93</f>
        <v>1400</v>
      </c>
      <c r="BL93" s="25">
        <v>372</v>
      </c>
      <c r="BM93" s="25">
        <v>372</v>
      </c>
      <c r="BN93" s="25">
        <v>372</v>
      </c>
      <c r="BO93" s="25">
        <v>372</v>
      </c>
      <c r="BP93" s="25">
        <f>BE93*AV93</f>
        <v>0</v>
      </c>
      <c r="BQ93" s="25">
        <f>BE93*AX93</f>
        <v>0</v>
      </c>
      <c r="BR93" s="43"/>
    </row>
    <row r="94" spans="1:70" s="6" customFormat="1" ht="41.25" customHeight="1">
      <c r="A94" s="18">
        <v>91</v>
      </c>
      <c r="B94" s="18" t="s">
        <v>58</v>
      </c>
      <c r="C94" s="18" t="s">
        <v>259</v>
      </c>
      <c r="D94" s="21" t="s">
        <v>50</v>
      </c>
      <c r="E94" s="22" t="s">
        <v>796</v>
      </c>
      <c r="F94" s="52" t="s">
        <v>123</v>
      </c>
      <c r="G94" s="52" t="s">
        <v>123</v>
      </c>
      <c r="H94" s="22">
        <v>120</v>
      </c>
      <c r="I94" s="22">
        <v>200</v>
      </c>
      <c r="J94" s="22"/>
      <c r="K94" s="22"/>
      <c r="L94" s="22"/>
      <c r="M94" s="23"/>
      <c r="N94" s="22" t="s">
        <v>799</v>
      </c>
      <c r="O94" s="23" t="s">
        <v>798</v>
      </c>
      <c r="P94" s="18" t="s">
        <v>56</v>
      </c>
      <c r="Q94" s="88">
        <v>300</v>
      </c>
      <c r="R94" s="144"/>
      <c r="S94" s="25">
        <v>660</v>
      </c>
      <c r="T94" s="26"/>
      <c r="U94" s="26"/>
      <c r="V94" s="25">
        <v>660</v>
      </c>
      <c r="W94" s="26"/>
      <c r="X94" s="25">
        <v>396</v>
      </c>
      <c r="Y94" s="29">
        <f>T94+R94+Q94+U94+W94</f>
        <v>300</v>
      </c>
      <c r="Z94" s="27">
        <v>3300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>
        <f>SUM(AM94:AS94)</f>
        <v>0</v>
      </c>
      <c r="AM94" s="26"/>
      <c r="AN94" s="26"/>
      <c r="AO94" s="26"/>
      <c r="AP94" s="26"/>
      <c r="AQ94" s="26"/>
      <c r="AR94" s="26"/>
      <c r="AS94" s="26"/>
      <c r="AT94" s="28"/>
      <c r="AU94" s="28"/>
      <c r="AV94" s="26"/>
      <c r="AW94" s="26"/>
      <c r="AX94" s="28"/>
      <c r="AY94" s="29">
        <f>Y94-AV94-AX94-AW94</f>
        <v>300</v>
      </c>
      <c r="AZ94" s="29">
        <f ca="1">'Layout for shadhous 1&amp;2'!I53</f>
        <v>300</v>
      </c>
      <c r="BA94" s="26">
        <f>AL94+AG94+AA94+AT94</f>
        <v>0</v>
      </c>
      <c r="BB94" s="30">
        <f>BD94+AO94+AG94</f>
        <v>0</v>
      </c>
      <c r="BC94" s="30">
        <f>BD94+AS94</f>
        <v>0</v>
      </c>
      <c r="BD94" s="30">
        <f>IF(BA94&gt;0,Y94-BA94,BA94)</f>
        <v>0</v>
      </c>
      <c r="BE94" s="31">
        <v>7</v>
      </c>
      <c r="BF94" s="30" t="s">
        <v>76</v>
      </c>
      <c r="BG94" s="31">
        <f>BE94*Q94</f>
        <v>2100</v>
      </c>
      <c r="BH94" s="31">
        <f>BE94*R94*0.4</f>
        <v>0</v>
      </c>
      <c r="BI94" s="142">
        <f>BE94*T94</f>
        <v>0</v>
      </c>
      <c r="BJ94" s="142">
        <f>BE94*U94*0.4</f>
        <v>0</v>
      </c>
      <c r="BK94" s="32">
        <f>Y94*BE94</f>
        <v>2100</v>
      </c>
      <c r="BL94" s="25">
        <v>396</v>
      </c>
      <c r="BM94" s="25">
        <v>396</v>
      </c>
      <c r="BN94" s="25">
        <v>396</v>
      </c>
      <c r="BO94" s="25">
        <v>396</v>
      </c>
      <c r="BP94" s="25">
        <f>BE94*AV94</f>
        <v>0</v>
      </c>
      <c r="BQ94" s="25">
        <f>BE94*AX94</f>
        <v>0</v>
      </c>
      <c r="BR94" s="28"/>
    </row>
    <row r="95" spans="1:70" s="6" customFormat="1" ht="41.25" customHeight="1">
      <c r="A95" s="18">
        <v>92</v>
      </c>
      <c r="B95" s="18" t="s">
        <v>58</v>
      </c>
      <c r="C95" s="18" t="s">
        <v>259</v>
      </c>
      <c r="D95" s="21" t="s">
        <v>50</v>
      </c>
      <c r="E95" s="22" t="s">
        <v>800</v>
      </c>
      <c r="F95" s="52" t="s">
        <v>123</v>
      </c>
      <c r="G95" s="52" t="s">
        <v>123</v>
      </c>
      <c r="H95" s="22">
        <v>200</v>
      </c>
      <c r="I95" s="22">
        <v>300</v>
      </c>
      <c r="J95" s="22"/>
      <c r="K95" s="22"/>
      <c r="L95" s="22" t="s">
        <v>119</v>
      </c>
      <c r="M95" s="23"/>
      <c r="N95" s="22" t="s">
        <v>801</v>
      </c>
      <c r="O95" s="23" t="s">
        <v>798</v>
      </c>
      <c r="P95" s="18" t="s">
        <v>56</v>
      </c>
      <c r="Q95" s="144"/>
      <c r="R95" s="144"/>
      <c r="S95" s="25">
        <v>660</v>
      </c>
      <c r="T95" s="26"/>
      <c r="U95" s="26"/>
      <c r="V95" s="25">
        <v>660</v>
      </c>
      <c r="W95" s="26"/>
      <c r="X95" s="25">
        <v>396</v>
      </c>
      <c r="Y95" s="26">
        <f>T95+R95+Q95+U95+W95</f>
        <v>0</v>
      </c>
      <c r="Z95" s="27">
        <v>3300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>
        <f>SUM(AM95:AS95)</f>
        <v>0</v>
      </c>
      <c r="AM95" s="26"/>
      <c r="AN95" s="26"/>
      <c r="AO95" s="26"/>
      <c r="AP95" s="26"/>
      <c r="AQ95" s="26"/>
      <c r="AR95" s="26"/>
      <c r="AS95" s="26"/>
      <c r="AT95" s="28"/>
      <c r="AU95" s="28"/>
      <c r="AV95" s="26"/>
      <c r="AW95" s="26"/>
      <c r="AX95" s="28"/>
      <c r="AY95" s="72">
        <f>Y95-AV95-AX95-AW95</f>
        <v>0</v>
      </c>
      <c r="AZ95" s="68"/>
      <c r="BA95" s="26">
        <f>AL95+AG95+AA95+AT95</f>
        <v>0</v>
      </c>
      <c r="BB95" s="30">
        <f>BD95+AO95+AG95</f>
        <v>0</v>
      </c>
      <c r="BC95" s="30">
        <f>BD95+AS95</f>
        <v>0</v>
      </c>
      <c r="BD95" s="30">
        <f>IF(BA95&gt;0,Y95-BA95,BA95)</f>
        <v>0</v>
      </c>
      <c r="BE95" s="31">
        <v>7</v>
      </c>
      <c r="BF95" s="30" t="s">
        <v>76</v>
      </c>
      <c r="BG95" s="31">
        <f>BE95*Q95</f>
        <v>0</v>
      </c>
      <c r="BH95" s="31">
        <f>BE95*R95*0.4</f>
        <v>0</v>
      </c>
      <c r="BI95" s="142">
        <f>BE95*T95</f>
        <v>0</v>
      </c>
      <c r="BJ95" s="142">
        <f>BE95*U95*0.4</f>
        <v>0</v>
      </c>
      <c r="BK95" s="32">
        <f>Y95*BE95</f>
        <v>0</v>
      </c>
      <c r="BL95" s="25">
        <v>396</v>
      </c>
      <c r="BM95" s="25">
        <v>396</v>
      </c>
      <c r="BN95" s="25">
        <v>396</v>
      </c>
      <c r="BO95" s="25">
        <v>396</v>
      </c>
      <c r="BP95" s="25">
        <f>BE95*AV95</f>
        <v>0</v>
      </c>
      <c r="BQ95" s="25">
        <f>BE95*AX95</f>
        <v>0</v>
      </c>
      <c r="BR95" s="28"/>
    </row>
    <row r="96" spans="1:70" s="6" customFormat="1" ht="41.25" customHeight="1">
      <c r="A96" s="18">
        <v>93</v>
      </c>
      <c r="B96" s="18" t="s">
        <v>48</v>
      </c>
      <c r="C96" s="65" t="s">
        <v>232</v>
      </c>
      <c r="D96" s="19" t="s">
        <v>50</v>
      </c>
      <c r="E96" s="22" t="s">
        <v>576</v>
      </c>
      <c r="F96" s="52" t="s">
        <v>123</v>
      </c>
      <c r="G96" s="21" t="s">
        <v>52</v>
      </c>
      <c r="H96" s="22"/>
      <c r="I96" s="22"/>
      <c r="J96" s="22"/>
      <c r="K96" s="22"/>
      <c r="L96" s="22" t="s">
        <v>52</v>
      </c>
      <c r="M96" s="23"/>
      <c r="N96" s="22" t="s">
        <v>802</v>
      </c>
      <c r="O96" s="23"/>
      <c r="P96" s="18" t="s">
        <v>56</v>
      </c>
      <c r="Q96" s="144"/>
      <c r="R96" s="144"/>
      <c r="S96" s="25">
        <v>640</v>
      </c>
      <c r="T96" s="26"/>
      <c r="U96" s="26"/>
      <c r="V96" s="25">
        <v>640</v>
      </c>
      <c r="W96" s="26"/>
      <c r="X96" s="25">
        <v>384</v>
      </c>
      <c r="Y96" s="26">
        <f>T96+R96+Q96+U96+W96</f>
        <v>0</v>
      </c>
      <c r="Z96" s="27">
        <v>3200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>
        <f>SUM(AM96:AS96)</f>
        <v>0</v>
      </c>
      <c r="AM96" s="26"/>
      <c r="AN96" s="26"/>
      <c r="AO96" s="26"/>
      <c r="AP96" s="26"/>
      <c r="AQ96" s="26"/>
      <c r="AR96" s="26"/>
      <c r="AS96" s="26"/>
      <c r="AT96" s="28"/>
      <c r="AU96" s="28"/>
      <c r="AV96" s="26"/>
      <c r="AW96" s="26"/>
      <c r="AX96" s="28"/>
      <c r="AY96" s="72">
        <f>Y96-AV96-AX96-AW96</f>
        <v>0</v>
      </c>
      <c r="AZ96" s="68"/>
      <c r="BA96" s="26">
        <f>AL96+AG96+AA96+AT96</f>
        <v>0</v>
      </c>
      <c r="BB96" s="30">
        <f>BD96+AO96+AG96</f>
        <v>0</v>
      </c>
      <c r="BC96" s="30">
        <f>BD96+AS96</f>
        <v>0</v>
      </c>
      <c r="BD96" s="30">
        <f>IF(BA96&gt;0,Y96-BA96,BA96)</f>
        <v>0</v>
      </c>
      <c r="BE96" s="31">
        <v>4</v>
      </c>
      <c r="BF96" s="30" t="s">
        <v>76</v>
      </c>
      <c r="BG96" s="31">
        <f>BE96*Q96</f>
        <v>0</v>
      </c>
      <c r="BH96" s="31">
        <f>BE96*R96*0.4</f>
        <v>0</v>
      </c>
      <c r="BI96" s="142">
        <f>BE96*T96</f>
        <v>0</v>
      </c>
      <c r="BJ96" s="142">
        <f>BE96*U96*0.4</f>
        <v>0</v>
      </c>
      <c r="BK96" s="32">
        <f>Y96*BE96</f>
        <v>0</v>
      </c>
      <c r="BL96" s="25">
        <v>384</v>
      </c>
      <c r="BM96" s="25">
        <v>384</v>
      </c>
      <c r="BN96" s="25">
        <v>384</v>
      </c>
      <c r="BO96" s="25">
        <v>384</v>
      </c>
      <c r="BP96" s="25">
        <f>BE96*AV96</f>
        <v>0</v>
      </c>
      <c r="BQ96" s="25">
        <f>BE96*AX96</f>
        <v>0</v>
      </c>
      <c r="BR96" s="28"/>
    </row>
    <row r="97" spans="1:70" s="6" customFormat="1" ht="41.25" customHeight="1">
      <c r="A97" s="18">
        <v>94</v>
      </c>
      <c r="B97" s="18" t="s">
        <v>48</v>
      </c>
      <c r="C97" s="18" t="s">
        <v>81</v>
      </c>
      <c r="D97" s="36" t="s">
        <v>68</v>
      </c>
      <c r="E97" s="22" t="s">
        <v>808</v>
      </c>
      <c r="F97" s="36" t="s">
        <v>70</v>
      </c>
      <c r="G97" s="36" t="s">
        <v>70</v>
      </c>
      <c r="H97" s="22"/>
      <c r="I97" s="37" t="s">
        <v>104</v>
      </c>
      <c r="J97" s="37"/>
      <c r="K97" s="37"/>
      <c r="L97" s="22"/>
      <c r="M97" s="23" t="s">
        <v>809</v>
      </c>
      <c r="N97" s="22" t="s">
        <v>810</v>
      </c>
      <c r="O97" s="23"/>
      <c r="P97" s="38" t="s">
        <v>56</v>
      </c>
      <c r="Q97" s="29">
        <v>30</v>
      </c>
      <c r="R97" s="26"/>
      <c r="S97" s="40">
        <v>30</v>
      </c>
      <c r="T97" s="63">
        <v>18</v>
      </c>
      <c r="U97" s="26"/>
      <c r="V97" s="25">
        <v>18</v>
      </c>
      <c r="W97" s="29">
        <v>32</v>
      </c>
      <c r="X97" s="25">
        <v>18</v>
      </c>
      <c r="Y97" s="29">
        <f>T97+R97+Q97+U97+W97</f>
        <v>80</v>
      </c>
      <c r="Z97" s="27">
        <v>150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41">
        <f>SUM(AM97:AS97)</f>
        <v>29</v>
      </c>
      <c r="AM97" s="41"/>
      <c r="AN97" s="42">
        <v>0</v>
      </c>
      <c r="AO97" s="42">
        <v>29</v>
      </c>
      <c r="AP97" s="42"/>
      <c r="AQ97" s="42"/>
      <c r="AR97" s="42"/>
      <c r="AS97" s="42"/>
      <c r="AT97" s="43"/>
      <c r="AU97" s="43"/>
      <c r="AV97" s="26"/>
      <c r="AW97" s="26"/>
      <c r="AX97" s="43"/>
      <c r="AY97" s="29">
        <f>Y97-AV97-AX97-AW97</f>
        <v>80</v>
      </c>
      <c r="AZ97" s="29">
        <f>'Layout for trees right'!I28</f>
        <v>80</v>
      </c>
      <c r="BA97" s="26">
        <f>AL97+AG97+AA97+AT97</f>
        <v>29</v>
      </c>
      <c r="BB97" s="30">
        <f>BD97+AO97+AG97</f>
        <v>80</v>
      </c>
      <c r="BC97" s="30">
        <f>BD97+AS97</f>
        <v>51</v>
      </c>
      <c r="BD97" s="30">
        <f>IF(BA97&gt;0,Y97-BA97,BA97)</f>
        <v>51</v>
      </c>
      <c r="BE97" s="31">
        <v>155</v>
      </c>
      <c r="BF97" s="30" t="s">
        <v>76</v>
      </c>
      <c r="BG97" s="31">
        <f>BE97*Q97</f>
        <v>4650</v>
      </c>
      <c r="BH97" s="31">
        <f>BE97*R97*0.4</f>
        <v>0</v>
      </c>
      <c r="BI97" s="142">
        <f>BE97*T97</f>
        <v>2790</v>
      </c>
      <c r="BJ97" s="142">
        <f>BE97*U97*0.4</f>
        <v>0</v>
      </c>
      <c r="BK97" s="32">
        <f>Y97*BE97</f>
        <v>12400</v>
      </c>
      <c r="BL97" s="25">
        <v>18</v>
      </c>
      <c r="BM97" s="25">
        <v>18</v>
      </c>
      <c r="BN97" s="25">
        <v>18</v>
      </c>
      <c r="BO97" s="25">
        <v>30</v>
      </c>
      <c r="BP97" s="25">
        <f>BE97*AV97</f>
        <v>0</v>
      </c>
      <c r="BQ97" s="25">
        <f>BE97*AX97</f>
        <v>0</v>
      </c>
      <c r="BR97" s="43"/>
    </row>
    <row r="98" spans="1:70" s="6" customFormat="1" ht="41.25" customHeight="1">
      <c r="A98" s="18">
        <v>95</v>
      </c>
      <c r="B98" s="18" t="s">
        <v>58</v>
      </c>
      <c r="C98" s="18" t="s">
        <v>547</v>
      </c>
      <c r="D98" s="36" t="s">
        <v>68</v>
      </c>
      <c r="E98" s="22" t="s">
        <v>812</v>
      </c>
      <c r="F98" s="36" t="s">
        <v>70</v>
      </c>
      <c r="G98" s="36" t="s">
        <v>70</v>
      </c>
      <c r="H98" s="22"/>
      <c r="I98" s="37" t="s">
        <v>104</v>
      </c>
      <c r="J98" s="37"/>
      <c r="K98" s="37"/>
      <c r="L98" s="22"/>
      <c r="M98" s="23" t="s">
        <v>624</v>
      </c>
      <c r="N98" s="22" t="s">
        <v>813</v>
      </c>
      <c r="O98" s="23" t="s">
        <v>814</v>
      </c>
      <c r="P98" s="38" t="s">
        <v>56</v>
      </c>
      <c r="Q98" s="29">
        <v>14</v>
      </c>
      <c r="R98" s="144"/>
      <c r="S98" s="40">
        <v>14</v>
      </c>
      <c r="T98" s="63">
        <v>8</v>
      </c>
      <c r="U98" s="26"/>
      <c r="V98" s="25">
        <v>8</v>
      </c>
      <c r="W98" s="29">
        <v>22</v>
      </c>
      <c r="X98" s="25">
        <v>8</v>
      </c>
      <c r="Y98" s="29">
        <f>T98+R98+Q98+U98+W98</f>
        <v>44</v>
      </c>
      <c r="Z98" s="27">
        <v>70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>
        <f>SUM(AM98:AS98)</f>
        <v>0</v>
      </c>
      <c r="AM98" s="26"/>
      <c r="AN98" s="26"/>
      <c r="AO98" s="26"/>
      <c r="AP98" s="26"/>
      <c r="AQ98" s="26"/>
      <c r="AR98" s="26"/>
      <c r="AS98" s="26"/>
      <c r="AT98" s="28"/>
      <c r="AU98" s="28"/>
      <c r="AV98" s="26"/>
      <c r="AW98" s="26"/>
      <c r="AX98" s="28"/>
      <c r="AY98" s="29">
        <f>Y98-AV98-AX98-AW98</f>
        <v>44</v>
      </c>
      <c r="AZ98" s="29">
        <f>'Layout for trees right'!I27</f>
        <v>44</v>
      </c>
      <c r="BA98" s="26">
        <f>AL98+AG98+AA98+AT98</f>
        <v>0</v>
      </c>
      <c r="BB98" s="30">
        <f>BD98+AO98+AG98</f>
        <v>0</v>
      </c>
      <c r="BC98" s="30">
        <f>BD98+AS98</f>
        <v>0</v>
      </c>
      <c r="BD98" s="30">
        <f>IF(BA98&gt;0,Y98-BA98,BA98)</f>
        <v>0</v>
      </c>
      <c r="BE98" s="31">
        <v>154</v>
      </c>
      <c r="BF98" s="30" t="s">
        <v>76</v>
      </c>
      <c r="BG98" s="31">
        <f>BE98*Q98</f>
        <v>2156</v>
      </c>
      <c r="BH98" s="31">
        <f>BE98*R98*0.4</f>
        <v>0</v>
      </c>
      <c r="BI98" s="142">
        <f>BE98*T98</f>
        <v>1232</v>
      </c>
      <c r="BJ98" s="142">
        <f>BE98*U98*0.4</f>
        <v>0</v>
      </c>
      <c r="BK98" s="32">
        <f>Y98*BE98</f>
        <v>6776</v>
      </c>
      <c r="BL98" s="25">
        <v>8</v>
      </c>
      <c r="BM98" s="25">
        <v>8</v>
      </c>
      <c r="BN98" s="25">
        <v>8</v>
      </c>
      <c r="BO98" s="25">
        <v>16</v>
      </c>
      <c r="BP98" s="25">
        <f>BE98*AV98</f>
        <v>0</v>
      </c>
      <c r="BQ98" s="25">
        <f>BE98*AX98</f>
        <v>0</v>
      </c>
      <c r="BR98" s="28"/>
    </row>
    <row r="99" spans="1:70" s="6" customFormat="1" ht="41.25" customHeight="1">
      <c r="A99" s="18">
        <v>96</v>
      </c>
      <c r="B99" s="18" t="s">
        <v>48</v>
      </c>
      <c r="C99" s="18" t="s">
        <v>49</v>
      </c>
      <c r="D99" s="19" t="s">
        <v>50</v>
      </c>
      <c r="E99" s="22" t="s">
        <v>754</v>
      </c>
      <c r="F99" s="52" t="s">
        <v>123</v>
      </c>
      <c r="G99" s="34" t="s">
        <v>128</v>
      </c>
      <c r="H99" s="22">
        <v>300</v>
      </c>
      <c r="I99" s="22">
        <v>500</v>
      </c>
      <c r="J99" s="22">
        <v>140</v>
      </c>
      <c r="K99" s="22" t="s">
        <v>292</v>
      </c>
      <c r="L99" s="22"/>
      <c r="M99" s="23"/>
      <c r="N99" s="22" t="s">
        <v>815</v>
      </c>
      <c r="O99" s="23"/>
      <c r="P99" s="18" t="s">
        <v>56</v>
      </c>
      <c r="Q99" s="144"/>
      <c r="R99" s="29">
        <v>1200</v>
      </c>
      <c r="S99" s="25">
        <v>1200</v>
      </c>
      <c r="T99" s="26"/>
      <c r="U99" s="63">
        <v>1200</v>
      </c>
      <c r="V99" s="25">
        <v>1200</v>
      </c>
      <c r="W99" s="29">
        <v>1100</v>
      </c>
      <c r="X99" s="25">
        <v>720</v>
      </c>
      <c r="Y99" s="29">
        <f>T99+R99+Q99+U99+W99</f>
        <v>3500</v>
      </c>
      <c r="Z99" s="27">
        <v>6000</v>
      </c>
      <c r="AA99" s="26"/>
      <c r="AB99" s="26"/>
      <c r="AC99" s="26"/>
      <c r="AD99" s="26"/>
      <c r="AE99" s="26"/>
      <c r="AF99" s="26"/>
      <c r="AG99" s="57">
        <f>SUBTOTAL(9,AH99:AK99)</f>
        <v>3232</v>
      </c>
      <c r="AH99" s="57">
        <v>2291</v>
      </c>
      <c r="AI99" s="57">
        <v>941</v>
      </c>
      <c r="AJ99" s="26"/>
      <c r="AK99" s="26"/>
      <c r="AL99" s="26">
        <f>SUM(AM99:AS99)</f>
        <v>0</v>
      </c>
      <c r="AM99" s="26"/>
      <c r="AN99" s="26"/>
      <c r="AO99" s="26"/>
      <c r="AP99" s="26"/>
      <c r="AQ99" s="26"/>
      <c r="AR99" s="26"/>
      <c r="AS99" s="26"/>
      <c r="AT99" s="28"/>
      <c r="AU99" s="28"/>
      <c r="AV99" s="26"/>
      <c r="AW99" s="26"/>
      <c r="AX99" s="28"/>
      <c r="AY99" s="29">
        <f>Y99-AV99-AX99-AW99</f>
        <v>3500</v>
      </c>
      <c r="AZ99" s="29">
        <f ca="1">'Layout for shadhous 1&amp;2'!F72</f>
        <v>3500</v>
      </c>
      <c r="BA99" s="26">
        <f>AL99+AG99+AA99+AT99</f>
        <v>3232</v>
      </c>
      <c r="BB99" s="30">
        <f>BD99+AO99+AG99</f>
        <v>3500</v>
      </c>
      <c r="BC99" s="30">
        <f>BD99+AS99</f>
        <v>268</v>
      </c>
      <c r="BD99" s="30">
        <f>IF(BA99&gt;0,Y99-BA99,BA99)</f>
        <v>268</v>
      </c>
      <c r="BE99" s="31">
        <v>11</v>
      </c>
      <c r="BF99" s="30" t="s">
        <v>76</v>
      </c>
      <c r="BG99" s="31">
        <f>BE99*Q99</f>
        <v>0</v>
      </c>
      <c r="BH99" s="31">
        <f>BE99*R99*0.4</f>
        <v>5280</v>
      </c>
      <c r="BI99" s="142">
        <f>BE99*T99</f>
        <v>0</v>
      </c>
      <c r="BJ99" s="142">
        <f>BE99*U99*0.4</f>
        <v>5280</v>
      </c>
      <c r="BK99" s="32">
        <f>Y99*BE99</f>
        <v>38500</v>
      </c>
      <c r="BL99" s="25">
        <v>720</v>
      </c>
      <c r="BM99" s="25">
        <v>720</v>
      </c>
      <c r="BN99" s="25">
        <v>720</v>
      </c>
      <c r="BO99" s="25">
        <v>720</v>
      </c>
      <c r="BP99" s="25">
        <f>BE99*AV99</f>
        <v>0</v>
      </c>
      <c r="BQ99" s="25">
        <f>BE99*AX99</f>
        <v>0</v>
      </c>
      <c r="BR99" s="28"/>
    </row>
    <row r="100" spans="1:70" s="6" customFormat="1" ht="41.25" customHeight="1">
      <c r="A100" s="18">
        <v>97</v>
      </c>
      <c r="B100" s="18" t="s">
        <v>48</v>
      </c>
      <c r="C100" s="18" t="s">
        <v>49</v>
      </c>
      <c r="D100" s="19" t="s">
        <v>50</v>
      </c>
      <c r="E100" s="22" t="s">
        <v>816</v>
      </c>
      <c r="F100" s="52" t="s">
        <v>123</v>
      </c>
      <c r="G100" s="34" t="s">
        <v>128</v>
      </c>
      <c r="H100" s="22">
        <v>300</v>
      </c>
      <c r="I100" s="22">
        <v>500</v>
      </c>
      <c r="J100" s="22">
        <v>140</v>
      </c>
      <c r="K100" s="22" t="s">
        <v>298</v>
      </c>
      <c r="L100" s="22"/>
      <c r="M100" s="23"/>
      <c r="N100" s="22" t="s">
        <v>817</v>
      </c>
      <c r="O100" s="23"/>
      <c r="P100" s="18" t="s">
        <v>56</v>
      </c>
      <c r="Q100" s="49"/>
      <c r="R100" s="29">
        <v>1140</v>
      </c>
      <c r="S100" s="25">
        <v>1140</v>
      </c>
      <c r="T100" s="26"/>
      <c r="U100" s="63">
        <v>260</v>
      </c>
      <c r="V100" s="25">
        <v>1140</v>
      </c>
      <c r="W100" s="26"/>
      <c r="X100" s="25">
        <v>684</v>
      </c>
      <c r="Y100" s="29">
        <f>T100+R100+Q100+U100+W100</f>
        <v>1400</v>
      </c>
      <c r="Z100" s="27">
        <v>5700</v>
      </c>
      <c r="AA100" s="26"/>
      <c r="AB100" s="26"/>
      <c r="AC100" s="26"/>
      <c r="AD100" s="26"/>
      <c r="AE100" s="26"/>
      <c r="AF100" s="26"/>
      <c r="AG100" s="57">
        <f>SUBTOTAL(9,AH100:AK100)</f>
        <v>834</v>
      </c>
      <c r="AH100" s="57">
        <v>319</v>
      </c>
      <c r="AI100" s="57">
        <v>515</v>
      </c>
      <c r="AJ100" s="26"/>
      <c r="AK100" s="26"/>
      <c r="AL100" s="26">
        <f>SUM(AM100:AS100)</f>
        <v>0</v>
      </c>
      <c r="AM100" s="41"/>
      <c r="AN100" s="49">
        <v>0</v>
      </c>
      <c r="AO100" s="49"/>
      <c r="AP100" s="49"/>
      <c r="AQ100" s="49"/>
      <c r="AR100" s="49"/>
      <c r="AS100" s="49"/>
      <c r="AT100" s="43"/>
      <c r="AU100" s="43"/>
      <c r="AV100" s="26"/>
      <c r="AW100" s="26"/>
      <c r="AX100" s="43"/>
      <c r="AY100" s="29">
        <f>Y100-AV100-AX100-AW100</f>
        <v>1400</v>
      </c>
      <c r="AZ100" s="29">
        <f ca="1">'Layout for shadhous 1&amp;2'!F73</f>
        <v>1400</v>
      </c>
      <c r="BA100" s="26">
        <f>AL100+AG100+AA100+AT100</f>
        <v>834</v>
      </c>
      <c r="BB100" s="30">
        <f>BD100+AO100+AG100</f>
        <v>1400</v>
      </c>
      <c r="BC100" s="30">
        <f>BD100+AS100</f>
        <v>566</v>
      </c>
      <c r="BD100" s="30">
        <f>IF(BA100&gt;0,Y100-BA100,BA100)</f>
        <v>566</v>
      </c>
      <c r="BE100" s="31">
        <v>11</v>
      </c>
      <c r="BF100" s="30" t="s">
        <v>76</v>
      </c>
      <c r="BG100" s="31">
        <f>BE100*Q100</f>
        <v>0</v>
      </c>
      <c r="BH100" s="31">
        <f>BE100*R100*0.4</f>
        <v>5016</v>
      </c>
      <c r="BI100" s="142">
        <f>BE100*T100</f>
        <v>0</v>
      </c>
      <c r="BJ100" s="142">
        <f>BE100*U100*0.4</f>
        <v>1144</v>
      </c>
      <c r="BK100" s="32">
        <f>Y100*BE100</f>
        <v>15400</v>
      </c>
      <c r="BL100" s="25">
        <v>684</v>
      </c>
      <c r="BM100" s="25">
        <v>684</v>
      </c>
      <c r="BN100" s="25">
        <v>684</v>
      </c>
      <c r="BO100" s="25">
        <v>684</v>
      </c>
      <c r="BP100" s="25">
        <f>BE100*AV100</f>
        <v>0</v>
      </c>
      <c r="BQ100" s="25">
        <f>BE100*AX100</f>
        <v>0</v>
      </c>
      <c r="BR100" s="43"/>
    </row>
    <row r="101" spans="1:70" s="6" customFormat="1" ht="41.25" customHeight="1">
      <c r="A101" s="18">
        <v>98</v>
      </c>
      <c r="B101" s="18" t="s">
        <v>58</v>
      </c>
      <c r="C101" s="18" t="s">
        <v>259</v>
      </c>
      <c r="D101" s="21" t="s">
        <v>50</v>
      </c>
      <c r="E101" s="22" t="s">
        <v>800</v>
      </c>
      <c r="F101" s="52" t="s">
        <v>123</v>
      </c>
      <c r="G101" s="52" t="s">
        <v>123</v>
      </c>
      <c r="H101" s="22">
        <v>300</v>
      </c>
      <c r="I101" s="22">
        <v>500</v>
      </c>
      <c r="J101" s="22"/>
      <c r="K101" s="22"/>
      <c r="L101" s="22"/>
      <c r="M101" s="23"/>
      <c r="N101" s="22" t="s">
        <v>821</v>
      </c>
      <c r="O101" s="23" t="s">
        <v>822</v>
      </c>
      <c r="P101" s="38" t="s">
        <v>56</v>
      </c>
      <c r="Q101" s="72"/>
      <c r="R101" s="88">
        <v>40</v>
      </c>
      <c r="S101" s="40">
        <v>1460</v>
      </c>
      <c r="T101" s="26"/>
      <c r="U101" s="26"/>
      <c r="V101" s="25">
        <v>1460</v>
      </c>
      <c r="W101" s="26"/>
      <c r="X101" s="25">
        <v>876</v>
      </c>
      <c r="Y101" s="29">
        <f>T101+R101+Q101+U101+W101</f>
        <v>40</v>
      </c>
      <c r="Z101" s="27">
        <v>7300</v>
      </c>
      <c r="AA101" s="26"/>
      <c r="AB101" s="26"/>
      <c r="AC101" s="26"/>
      <c r="AD101" s="26"/>
      <c r="AE101" s="26"/>
      <c r="AF101" s="26"/>
      <c r="AG101" s="57">
        <f>SUBTOTAL(9,AH101:AK101)</f>
        <v>459</v>
      </c>
      <c r="AH101" s="26"/>
      <c r="AI101" s="57">
        <v>459</v>
      </c>
      <c r="AJ101" s="26"/>
      <c r="AK101" s="26"/>
      <c r="AL101" s="26">
        <f>SUM(AM101:AS101)</f>
        <v>0</v>
      </c>
      <c r="AM101" s="26"/>
      <c r="AN101" s="26"/>
      <c r="AO101" s="26"/>
      <c r="AP101" s="26"/>
      <c r="AQ101" s="26"/>
      <c r="AR101" s="26"/>
      <c r="AS101" s="26"/>
      <c r="AT101" s="28"/>
      <c r="AU101" s="28"/>
      <c r="AV101" s="26"/>
      <c r="AW101" s="26"/>
      <c r="AX101" s="28"/>
      <c r="AY101" s="29">
        <f>Y101-AV101-AX101-AW101</f>
        <v>40</v>
      </c>
      <c r="AZ101" s="29">
        <f ca="1">'Layout for shadhous 1&amp;2'!I55</f>
        <v>0</v>
      </c>
      <c r="BA101" s="26">
        <f>AL101+AG101+AA101+AT101</f>
        <v>459</v>
      </c>
      <c r="BB101" s="30">
        <f>BD101+AO101+AG101</f>
        <v>40</v>
      </c>
      <c r="BC101" s="30">
        <f>BD101+AS101</f>
        <v>-419</v>
      </c>
      <c r="BD101" s="30">
        <f>IF(BA101&gt;0,Y101-BA101,BA101)</f>
        <v>-419</v>
      </c>
      <c r="BE101" s="31">
        <v>11</v>
      </c>
      <c r="BF101" s="30" t="s">
        <v>76</v>
      </c>
      <c r="BG101" s="31">
        <f>BE101*Q101</f>
        <v>0</v>
      </c>
      <c r="BH101" s="31">
        <f>BE101*R101*0.4</f>
        <v>176</v>
      </c>
      <c r="BI101" s="142">
        <f>BE101*T101</f>
        <v>0</v>
      </c>
      <c r="BJ101" s="142">
        <f>BE101*U101*0.4</f>
        <v>0</v>
      </c>
      <c r="BK101" s="32">
        <f>Y101*BE101</f>
        <v>440</v>
      </c>
      <c r="BL101" s="25">
        <v>876</v>
      </c>
      <c r="BM101" s="25">
        <v>876</v>
      </c>
      <c r="BN101" s="25">
        <v>876</v>
      </c>
      <c r="BO101" s="25">
        <v>876</v>
      </c>
      <c r="BP101" s="25">
        <f>BE101*AV101</f>
        <v>0</v>
      </c>
      <c r="BQ101" s="25">
        <f>BE101*AX101</f>
        <v>0</v>
      </c>
      <c r="BR101" s="28"/>
    </row>
    <row r="102" spans="1:70" s="6" customFormat="1" ht="41.25" customHeight="1">
      <c r="A102" s="18">
        <v>99</v>
      </c>
      <c r="B102" s="50" t="s">
        <v>66</v>
      </c>
      <c r="C102" s="44" t="s">
        <v>139</v>
      </c>
      <c r="D102" s="56" t="s">
        <v>50</v>
      </c>
      <c r="E102" s="50" t="s">
        <v>830</v>
      </c>
      <c r="F102" s="21" t="s">
        <v>52</v>
      </c>
      <c r="G102" s="21" t="s">
        <v>52</v>
      </c>
      <c r="H102" s="50">
        <v>120</v>
      </c>
      <c r="I102" s="50">
        <v>200</v>
      </c>
      <c r="J102" s="50"/>
      <c r="K102" s="50"/>
      <c r="L102" s="22" t="s">
        <v>52</v>
      </c>
      <c r="M102" s="23"/>
      <c r="N102" s="22" t="s">
        <v>831</v>
      </c>
      <c r="O102" s="23" t="s">
        <v>832</v>
      </c>
      <c r="P102" s="22"/>
      <c r="Q102" s="26"/>
      <c r="R102" s="26"/>
      <c r="S102" s="25">
        <v>920</v>
      </c>
      <c r="T102" s="26"/>
      <c r="U102" s="26"/>
      <c r="V102" s="25">
        <v>920</v>
      </c>
      <c r="W102" s="26"/>
      <c r="X102" s="25">
        <v>200</v>
      </c>
      <c r="Y102" s="26">
        <f>T102+R102+Q102+U102+W102</f>
        <v>0</v>
      </c>
      <c r="Z102" s="27">
        <v>4600</v>
      </c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>
        <f>SUM(AM102:AS102)</f>
        <v>0</v>
      </c>
      <c r="AM102" s="26"/>
      <c r="AN102" s="26"/>
      <c r="AO102" s="26"/>
      <c r="AP102" s="26"/>
      <c r="AQ102" s="26"/>
      <c r="AR102" s="26"/>
      <c r="AS102" s="26"/>
      <c r="AT102" s="28"/>
      <c r="AU102" s="28"/>
      <c r="AV102" s="26"/>
      <c r="AW102" s="26"/>
      <c r="AX102" s="28"/>
      <c r="AY102" s="72">
        <f>Y102-AV102-AX102-AW102</f>
        <v>0</v>
      </c>
      <c r="AZ102" s="68"/>
      <c r="BA102" s="26">
        <f>AL102+AG102+AA102+AT102</f>
        <v>0</v>
      </c>
      <c r="BB102" s="30">
        <f>BD102+AO102+AG102</f>
        <v>0</v>
      </c>
      <c r="BC102" s="30">
        <f>BD102+AS102</f>
        <v>0</v>
      </c>
      <c r="BD102" s="30">
        <f>IF(BA102&gt;0,Y102-BA102,BA102)</f>
        <v>0</v>
      </c>
      <c r="BE102" s="31">
        <v>23</v>
      </c>
      <c r="BF102" s="30" t="s">
        <v>76</v>
      </c>
      <c r="BG102" s="31">
        <f>BE102*Q102</f>
        <v>0</v>
      </c>
      <c r="BH102" s="31">
        <f>BE102*R102*0.4</f>
        <v>0</v>
      </c>
      <c r="BI102" s="142">
        <f>BE102*T102</f>
        <v>0</v>
      </c>
      <c r="BJ102" s="142">
        <f>BE102*U102*0.4</f>
        <v>0</v>
      </c>
      <c r="BK102" s="32">
        <f>Y102*BE102</f>
        <v>0</v>
      </c>
      <c r="BL102" s="25">
        <v>200</v>
      </c>
      <c r="BM102" s="25">
        <v>200</v>
      </c>
      <c r="BN102" s="25">
        <v>200</v>
      </c>
      <c r="BO102" s="25">
        <v>200</v>
      </c>
      <c r="BP102" s="25">
        <f>BE102*AV102</f>
        <v>0</v>
      </c>
      <c r="BQ102" s="25">
        <f>BE102*AX102</f>
        <v>0</v>
      </c>
      <c r="BR102" s="28"/>
    </row>
    <row r="103" spans="1:70" s="6" customFormat="1" ht="41.25" customHeight="1">
      <c r="A103" s="18">
        <v>100</v>
      </c>
      <c r="B103" s="18" t="s">
        <v>48</v>
      </c>
      <c r="C103" s="18" t="s">
        <v>49</v>
      </c>
      <c r="D103" s="19" t="s">
        <v>50</v>
      </c>
      <c r="E103" s="22" t="s">
        <v>816</v>
      </c>
      <c r="F103" s="52" t="s">
        <v>123</v>
      </c>
      <c r="G103" s="21" t="s">
        <v>52</v>
      </c>
      <c r="H103" s="22" t="s">
        <v>834</v>
      </c>
      <c r="I103" s="22"/>
      <c r="J103" s="22"/>
      <c r="K103" s="22"/>
      <c r="L103" s="22" t="s">
        <v>52</v>
      </c>
      <c r="M103" s="23"/>
      <c r="N103" s="22" t="s">
        <v>835</v>
      </c>
      <c r="O103" s="23" t="s">
        <v>836</v>
      </c>
      <c r="P103" s="18" t="s">
        <v>56</v>
      </c>
      <c r="Q103" s="144"/>
      <c r="R103" s="144"/>
      <c r="S103" s="25">
        <v>260</v>
      </c>
      <c r="T103" s="26"/>
      <c r="U103" s="26"/>
      <c r="V103" s="25">
        <v>260</v>
      </c>
      <c r="W103" s="26"/>
      <c r="X103" s="25">
        <v>156</v>
      </c>
      <c r="Y103" s="26">
        <f>T103+R103+Q103+U103+W103</f>
        <v>0</v>
      </c>
      <c r="Z103" s="27">
        <v>1300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>
        <f>SUM(AM103:AS103)</f>
        <v>0</v>
      </c>
      <c r="AM103" s="26"/>
      <c r="AN103" s="26"/>
      <c r="AO103" s="26"/>
      <c r="AP103" s="26"/>
      <c r="AQ103" s="26"/>
      <c r="AR103" s="26"/>
      <c r="AS103" s="26"/>
      <c r="AT103" s="28"/>
      <c r="AU103" s="28"/>
      <c r="AV103" s="26"/>
      <c r="AW103" s="26"/>
      <c r="AX103" s="28"/>
      <c r="AY103" s="72">
        <f>Y103-AV103-AX103-AW103</f>
        <v>0</v>
      </c>
      <c r="AZ103" s="68"/>
      <c r="BA103" s="26">
        <f>AL103+AG103+AA103+AT103</f>
        <v>0</v>
      </c>
      <c r="BB103" s="30">
        <f>BD103+AO103+AG103</f>
        <v>0</v>
      </c>
      <c r="BC103" s="30">
        <f>BD103+AS103</f>
        <v>0</v>
      </c>
      <c r="BD103" s="30">
        <f>IF(BA103&gt;0,Y103-BA103,BA103)</f>
        <v>0</v>
      </c>
      <c r="BE103" s="31">
        <v>4</v>
      </c>
      <c r="BF103" s="30" t="s">
        <v>76</v>
      </c>
      <c r="BG103" s="31">
        <f>BE103*Q103</f>
        <v>0</v>
      </c>
      <c r="BH103" s="31">
        <f>BE103*R103*0.4</f>
        <v>0</v>
      </c>
      <c r="BI103" s="142">
        <f>BE103*T103</f>
        <v>0</v>
      </c>
      <c r="BJ103" s="142">
        <f>BE103*U103*0.4</f>
        <v>0</v>
      </c>
      <c r="BK103" s="32">
        <f>Y103*BE103</f>
        <v>0</v>
      </c>
      <c r="BL103" s="25">
        <v>156</v>
      </c>
      <c r="BM103" s="25">
        <v>156</v>
      </c>
      <c r="BN103" s="25">
        <v>156</v>
      </c>
      <c r="BO103" s="25">
        <v>156</v>
      </c>
      <c r="BP103" s="25">
        <f>BE103*AV103</f>
        <v>0</v>
      </c>
      <c r="BQ103" s="25">
        <f>BE103*AX103</f>
        <v>0</v>
      </c>
      <c r="BR103" s="28"/>
    </row>
    <row r="104" spans="1:70" s="6" customFormat="1" ht="41.25" customHeight="1">
      <c r="A104" s="18">
        <v>101</v>
      </c>
      <c r="B104" s="50" t="s">
        <v>66</v>
      </c>
      <c r="C104" s="44" t="s">
        <v>139</v>
      </c>
      <c r="D104" s="56" t="s">
        <v>50</v>
      </c>
      <c r="E104" s="50" t="s">
        <v>830</v>
      </c>
      <c r="F104" s="52" t="s">
        <v>123</v>
      </c>
      <c r="G104" s="52" t="s">
        <v>123</v>
      </c>
      <c r="H104" s="50">
        <v>300</v>
      </c>
      <c r="I104" s="50">
        <v>500</v>
      </c>
      <c r="J104" s="50"/>
      <c r="K104" s="50"/>
      <c r="L104" s="22"/>
      <c r="M104" s="23"/>
      <c r="N104" s="22" t="s">
        <v>844</v>
      </c>
      <c r="O104" s="23" t="s">
        <v>845</v>
      </c>
      <c r="P104" s="18" t="s">
        <v>56</v>
      </c>
      <c r="Q104" s="172">
        <v>460</v>
      </c>
      <c r="R104" s="144"/>
      <c r="S104" s="25">
        <v>460</v>
      </c>
      <c r="T104" s="63">
        <v>460</v>
      </c>
      <c r="U104" s="26"/>
      <c r="V104" s="25">
        <v>460</v>
      </c>
      <c r="W104" s="29">
        <v>380</v>
      </c>
      <c r="X104" s="25">
        <v>276</v>
      </c>
      <c r="Y104" s="29">
        <f>T104+R104+Q104+U104+W104</f>
        <v>1300</v>
      </c>
      <c r="Z104" s="27">
        <v>2300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>
        <f>SUM(AM104:AS104)</f>
        <v>0</v>
      </c>
      <c r="AM104" s="26"/>
      <c r="AN104" s="26"/>
      <c r="AO104" s="26"/>
      <c r="AP104" s="26"/>
      <c r="AQ104" s="26"/>
      <c r="AR104" s="26"/>
      <c r="AS104" s="26"/>
      <c r="AT104" s="28"/>
      <c r="AU104" s="28"/>
      <c r="AV104" s="26"/>
      <c r="AW104" s="26"/>
      <c r="AX104" s="28"/>
      <c r="AY104" s="29">
        <f>Y104-AV104-AX104-AW104</f>
        <v>1300</v>
      </c>
      <c r="AZ104" s="29">
        <f ca="1">'Layout for shadhous 1&amp;2'!I56</f>
        <v>1300</v>
      </c>
      <c r="BA104" s="26">
        <f>AL104+AG104+AA104+AT104</f>
        <v>0</v>
      </c>
      <c r="BB104" s="30">
        <f>BD104+AO104+AG104</f>
        <v>0</v>
      </c>
      <c r="BC104" s="30">
        <f>BD104+AS104</f>
        <v>0</v>
      </c>
      <c r="BD104" s="30">
        <f>IF(BA104&gt;0,Y104-BA104,BA104)</f>
        <v>0</v>
      </c>
      <c r="BE104" s="31">
        <v>23</v>
      </c>
      <c r="BF104" s="30" t="s">
        <v>76</v>
      </c>
      <c r="BG104" s="31">
        <f>BE104*Q104</f>
        <v>10580</v>
      </c>
      <c r="BH104" s="31">
        <f>BE104*R104*0.4</f>
        <v>0</v>
      </c>
      <c r="BI104" s="142">
        <f>BE104*T104</f>
        <v>10580</v>
      </c>
      <c r="BJ104" s="142">
        <f>BE104*U104*0.4</f>
        <v>0</v>
      </c>
      <c r="BK104" s="32">
        <f>Y104*BE104</f>
        <v>29900</v>
      </c>
      <c r="BL104" s="25">
        <v>276</v>
      </c>
      <c r="BM104" s="25">
        <v>276</v>
      </c>
      <c r="BN104" s="25">
        <v>276</v>
      </c>
      <c r="BO104" s="25">
        <v>276</v>
      </c>
      <c r="BP104" s="25">
        <f>BE104*AV104</f>
        <v>0</v>
      </c>
      <c r="BQ104" s="25">
        <f>BE104*AX104</f>
        <v>0</v>
      </c>
      <c r="BR104" s="28">
        <v>12</v>
      </c>
    </row>
    <row r="105" spans="1:70" s="6" customFormat="1" ht="41.25" customHeight="1">
      <c r="A105" s="18">
        <v>102</v>
      </c>
      <c r="B105" s="18" t="s">
        <v>58</v>
      </c>
      <c r="C105" s="18" t="s">
        <v>259</v>
      </c>
      <c r="D105" s="21" t="s">
        <v>50</v>
      </c>
      <c r="E105" s="22" t="s">
        <v>846</v>
      </c>
      <c r="F105" s="52" t="s">
        <v>123</v>
      </c>
      <c r="G105" s="52" t="s">
        <v>123</v>
      </c>
      <c r="H105" s="22">
        <v>120</v>
      </c>
      <c r="I105" s="22">
        <v>200</v>
      </c>
      <c r="J105" s="22"/>
      <c r="K105" s="22"/>
      <c r="L105" s="22"/>
      <c r="M105" s="23"/>
      <c r="N105" s="22" t="s">
        <v>847</v>
      </c>
      <c r="O105" s="23" t="s">
        <v>848</v>
      </c>
      <c r="P105" s="18" t="s">
        <v>56</v>
      </c>
      <c r="Q105" s="88">
        <v>126</v>
      </c>
      <c r="R105" s="72"/>
      <c r="S105" s="25">
        <v>260</v>
      </c>
      <c r="T105" s="26"/>
      <c r="U105" s="26"/>
      <c r="V105" s="25">
        <v>260</v>
      </c>
      <c r="W105" s="26"/>
      <c r="X105" s="25">
        <v>156</v>
      </c>
      <c r="Y105" s="29">
        <f>T105+R105+Q105+U105+W105</f>
        <v>126</v>
      </c>
      <c r="Z105" s="27">
        <v>1300</v>
      </c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>
        <f>SUM(AM105:AS105)</f>
        <v>0</v>
      </c>
      <c r="AM105" s="26"/>
      <c r="AN105" s="26"/>
      <c r="AO105" s="26"/>
      <c r="AP105" s="26"/>
      <c r="AQ105" s="26"/>
      <c r="AR105" s="26"/>
      <c r="AS105" s="26"/>
      <c r="AT105" s="28"/>
      <c r="AU105" s="28"/>
      <c r="AV105" s="26"/>
      <c r="AW105" s="26"/>
      <c r="AX105" s="28"/>
      <c r="AY105" s="29">
        <f>Y105-AV105-AX105-AW105</f>
        <v>126</v>
      </c>
      <c r="AZ105" s="29">
        <f>'Layout for shadhous 3'!M56</f>
        <v>126</v>
      </c>
      <c r="BA105" s="26">
        <f>AL105+AG105+AA105+AT105</f>
        <v>0</v>
      </c>
      <c r="BB105" s="30">
        <f>BD105+AO105+AG105</f>
        <v>0</v>
      </c>
      <c r="BC105" s="30">
        <f>BD105+AS105</f>
        <v>0</v>
      </c>
      <c r="BD105" s="30">
        <f>IF(BA105&gt;0,Y105-BA105,BA105)</f>
        <v>0</v>
      </c>
      <c r="BE105" s="31">
        <v>7</v>
      </c>
      <c r="BF105" s="30" t="s">
        <v>76</v>
      </c>
      <c r="BG105" s="31">
        <f>BE105*Q105</f>
        <v>882</v>
      </c>
      <c r="BH105" s="31">
        <f>BE105*R105*0.4</f>
        <v>0</v>
      </c>
      <c r="BI105" s="31">
        <f>BE105*T105</f>
        <v>0</v>
      </c>
      <c r="BJ105" s="31">
        <f>BE105*U105*0.4</f>
        <v>0</v>
      </c>
      <c r="BK105" s="32">
        <f>Y105*BE105</f>
        <v>882</v>
      </c>
      <c r="BL105" s="25">
        <v>156</v>
      </c>
      <c r="BM105" s="25">
        <v>156</v>
      </c>
      <c r="BN105" s="25">
        <v>156</v>
      </c>
      <c r="BO105" s="25">
        <v>156</v>
      </c>
      <c r="BP105" s="25">
        <f>BE105*AV105</f>
        <v>0</v>
      </c>
      <c r="BQ105" s="25">
        <f>BE105*AX105</f>
        <v>0</v>
      </c>
      <c r="BR105" s="28"/>
    </row>
    <row r="106" spans="1:70" s="6" customFormat="1" ht="41.25" customHeight="1">
      <c r="A106" s="18">
        <v>103</v>
      </c>
      <c r="B106" s="18" t="s">
        <v>58</v>
      </c>
      <c r="C106" s="18" t="s">
        <v>259</v>
      </c>
      <c r="D106" s="21" t="s">
        <v>50</v>
      </c>
      <c r="E106" s="22" t="s">
        <v>846</v>
      </c>
      <c r="F106" s="52" t="s">
        <v>123</v>
      </c>
      <c r="G106" s="52" t="s">
        <v>123</v>
      </c>
      <c r="H106" s="22">
        <v>120</v>
      </c>
      <c r="I106" s="22">
        <v>200</v>
      </c>
      <c r="J106" s="22"/>
      <c r="K106" s="22"/>
      <c r="L106" s="22"/>
      <c r="M106" s="23"/>
      <c r="N106" s="22" t="s">
        <v>851</v>
      </c>
      <c r="O106" s="23" t="s">
        <v>852</v>
      </c>
      <c r="P106" s="18" t="s">
        <v>56</v>
      </c>
      <c r="Q106" s="73">
        <v>21</v>
      </c>
      <c r="R106" s="72"/>
      <c r="S106" s="25">
        <v>260</v>
      </c>
      <c r="T106" s="26"/>
      <c r="U106" s="26"/>
      <c r="V106" s="25">
        <v>260</v>
      </c>
      <c r="W106" s="26"/>
      <c r="X106" s="25">
        <v>156</v>
      </c>
      <c r="Y106" s="29">
        <f>T106+R106+Q106+U106+W106</f>
        <v>21</v>
      </c>
      <c r="Z106" s="27">
        <v>1300</v>
      </c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>
        <f>SUM(AM106:AS106)</f>
        <v>0</v>
      </c>
      <c r="AM106" s="26"/>
      <c r="AN106" s="26"/>
      <c r="AO106" s="26"/>
      <c r="AP106" s="26"/>
      <c r="AQ106" s="26"/>
      <c r="AR106" s="26"/>
      <c r="AS106" s="26"/>
      <c r="AT106" s="28"/>
      <c r="AU106" s="28"/>
      <c r="AV106" s="26"/>
      <c r="AW106" s="26"/>
      <c r="AX106" s="28"/>
      <c r="AY106" s="29">
        <f>Y106-AV106-AX106-AW106</f>
        <v>21</v>
      </c>
      <c r="AZ106" s="29">
        <f>'Layout for shadhous 3'!M57</f>
        <v>21</v>
      </c>
      <c r="BA106" s="26">
        <f>AL106+AG106+AA106+AT106</f>
        <v>0</v>
      </c>
      <c r="BB106" s="30">
        <f>BD106+AO106+AG106</f>
        <v>0</v>
      </c>
      <c r="BC106" s="30">
        <f>BD106+AS106</f>
        <v>0</v>
      </c>
      <c r="BD106" s="30">
        <f>IF(BA106&gt;0,Y106-BA106,BA106)</f>
        <v>0</v>
      </c>
      <c r="BE106" s="31">
        <v>7</v>
      </c>
      <c r="BF106" s="30" t="s">
        <v>76</v>
      </c>
      <c r="BG106" s="31">
        <f>BE106*Q106</f>
        <v>147</v>
      </c>
      <c r="BH106" s="31">
        <f>BE106*R106*0.4</f>
        <v>0</v>
      </c>
      <c r="BI106" s="142">
        <f>BE106*T106</f>
        <v>0</v>
      </c>
      <c r="BJ106" s="142">
        <f>BE106*U106*0.4</f>
        <v>0</v>
      </c>
      <c r="BK106" s="32">
        <f>Y106*BE106</f>
        <v>147</v>
      </c>
      <c r="BL106" s="25">
        <v>156</v>
      </c>
      <c r="BM106" s="25">
        <v>156</v>
      </c>
      <c r="BN106" s="25">
        <v>156</v>
      </c>
      <c r="BO106" s="25">
        <v>156</v>
      </c>
      <c r="BP106" s="25">
        <f>BE106*AV106</f>
        <v>0</v>
      </c>
      <c r="BQ106" s="25">
        <f>BE106*AX106</f>
        <v>0</v>
      </c>
      <c r="BR106" s="28"/>
    </row>
    <row r="107" spans="1:70" s="6" customFormat="1" ht="41.25" customHeight="1">
      <c r="A107" s="18">
        <v>104</v>
      </c>
      <c r="B107" s="18" t="s">
        <v>191</v>
      </c>
      <c r="C107" s="18" t="s">
        <v>192</v>
      </c>
      <c r="D107" s="21" t="s">
        <v>50</v>
      </c>
      <c r="E107" s="22" t="s">
        <v>793</v>
      </c>
      <c r="F107" s="52" t="s">
        <v>123</v>
      </c>
      <c r="G107" s="52" t="s">
        <v>123</v>
      </c>
      <c r="H107" s="22">
        <v>120</v>
      </c>
      <c r="I107" s="22">
        <v>200</v>
      </c>
      <c r="J107" s="22"/>
      <c r="K107" s="22"/>
      <c r="L107" s="22" t="s">
        <v>119</v>
      </c>
      <c r="M107" s="23"/>
      <c r="N107" s="22" t="s">
        <v>860</v>
      </c>
      <c r="O107" s="23" t="s">
        <v>861</v>
      </c>
      <c r="P107" s="18" t="s">
        <v>56</v>
      </c>
      <c r="Q107" s="150"/>
      <c r="R107" s="150"/>
      <c r="S107" s="25">
        <v>260</v>
      </c>
      <c r="T107" s="26"/>
      <c r="U107" s="26"/>
      <c r="V107" s="25">
        <v>260</v>
      </c>
      <c r="W107" s="26"/>
      <c r="X107" s="25">
        <v>156</v>
      </c>
      <c r="Y107" s="26">
        <f>T107+R107+Q107+U107+W107</f>
        <v>0</v>
      </c>
      <c r="Z107" s="27">
        <v>1300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>
        <f>SUM(AM107:AS107)</f>
        <v>0</v>
      </c>
      <c r="AM107" s="26"/>
      <c r="AN107" s="26"/>
      <c r="AO107" s="26"/>
      <c r="AP107" s="26"/>
      <c r="AQ107" s="26"/>
      <c r="AR107" s="26"/>
      <c r="AS107" s="26"/>
      <c r="AT107" s="28"/>
      <c r="AU107" s="28"/>
      <c r="AV107" s="26"/>
      <c r="AW107" s="26"/>
      <c r="AX107" s="28"/>
      <c r="AY107" s="72">
        <f>Y107-AV107-AX107-AW107</f>
        <v>0</v>
      </c>
      <c r="AZ107" s="68"/>
      <c r="BA107" s="26">
        <f>AL107+AG107+AA107+AT107</f>
        <v>0</v>
      </c>
      <c r="BB107" s="30">
        <f>BD107+AO107+AG107</f>
        <v>0</v>
      </c>
      <c r="BC107" s="30">
        <f>BD107+AS107</f>
        <v>0</v>
      </c>
      <c r="BD107" s="30">
        <f>IF(BA107&gt;0,Y107-BA107,BA107)</f>
        <v>0</v>
      </c>
      <c r="BE107" s="31">
        <v>7</v>
      </c>
      <c r="BF107" s="30" t="s">
        <v>76</v>
      </c>
      <c r="BG107" s="31">
        <f>BE107*Q107</f>
        <v>0</v>
      </c>
      <c r="BH107" s="31">
        <f>BE107*R107*0.4</f>
        <v>0</v>
      </c>
      <c r="BI107" s="31">
        <f>BE107*T107</f>
        <v>0</v>
      </c>
      <c r="BJ107" s="31">
        <f>BE107*U107*0.4</f>
        <v>0</v>
      </c>
      <c r="BK107" s="32">
        <f>Y107*BE107</f>
        <v>0</v>
      </c>
      <c r="BL107" s="25">
        <v>156</v>
      </c>
      <c r="BM107" s="25">
        <v>156</v>
      </c>
      <c r="BN107" s="25">
        <v>156</v>
      </c>
      <c r="BO107" s="25">
        <v>156</v>
      </c>
      <c r="BP107" s="25">
        <f>BE107*AV107</f>
        <v>0</v>
      </c>
      <c r="BQ107" s="25">
        <f>BE107*AX107</f>
        <v>0</v>
      </c>
      <c r="BR107" s="28"/>
    </row>
    <row r="108" spans="1:70" s="6" customFormat="1" ht="41.25" customHeight="1">
      <c r="A108" s="18">
        <v>105</v>
      </c>
      <c r="B108" s="18" t="s">
        <v>66</v>
      </c>
      <c r="C108" s="18" t="s">
        <v>139</v>
      </c>
      <c r="D108" s="56" t="s">
        <v>50</v>
      </c>
      <c r="E108" s="22" t="s">
        <v>864</v>
      </c>
      <c r="F108" s="52" t="s">
        <v>123</v>
      </c>
      <c r="G108" s="34" t="s">
        <v>128</v>
      </c>
      <c r="H108" s="22">
        <v>200</v>
      </c>
      <c r="I108" s="22">
        <v>500</v>
      </c>
      <c r="J108" s="22"/>
      <c r="K108" s="22"/>
      <c r="L108" s="22"/>
      <c r="M108" s="23"/>
      <c r="N108" s="22" t="s">
        <v>865</v>
      </c>
      <c r="O108" s="23"/>
      <c r="P108" s="18" t="s">
        <v>56</v>
      </c>
      <c r="Q108" s="88">
        <v>460</v>
      </c>
      <c r="R108" s="72"/>
      <c r="S108" s="25">
        <v>460</v>
      </c>
      <c r="T108" s="26"/>
      <c r="U108" s="63">
        <v>460</v>
      </c>
      <c r="V108" s="25">
        <v>460</v>
      </c>
      <c r="W108" s="29">
        <v>308</v>
      </c>
      <c r="X108" s="25">
        <v>276</v>
      </c>
      <c r="Y108" s="29">
        <f>T108+R108+Q108+U108+W108</f>
        <v>1228</v>
      </c>
      <c r="Z108" s="27">
        <v>2300</v>
      </c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>
        <f>SUM(AM108:AS108)</f>
        <v>0</v>
      </c>
      <c r="AM108" s="26"/>
      <c r="AN108" s="78"/>
      <c r="AO108" s="78"/>
      <c r="AP108" s="78"/>
      <c r="AQ108" s="78"/>
      <c r="AR108" s="78"/>
      <c r="AS108" s="78"/>
      <c r="AT108" s="43"/>
      <c r="AU108" s="43"/>
      <c r="AV108" s="26"/>
      <c r="AW108" s="26"/>
      <c r="AX108" s="43"/>
      <c r="AY108" s="29">
        <f>Y108-AV108-AX108-AW108</f>
        <v>1228</v>
      </c>
      <c r="AZ108" s="29">
        <f ca="1">'Layout for shadhous 1&amp;2'!I57</f>
        <v>1228</v>
      </c>
      <c r="BA108" s="26">
        <f>AL108+AG108+AA108+AT108</f>
        <v>0</v>
      </c>
      <c r="BB108" s="30">
        <f>BD108+AO108+AG108</f>
        <v>0</v>
      </c>
      <c r="BC108" s="30">
        <f>BD108+AS108</f>
        <v>0</v>
      </c>
      <c r="BD108" s="30">
        <f>IF(BA108&gt;0,Y108-BA108,BA108)</f>
        <v>0</v>
      </c>
      <c r="BE108" s="31">
        <v>23</v>
      </c>
      <c r="BF108" s="30" t="s">
        <v>76</v>
      </c>
      <c r="BG108" s="31">
        <f>BE108*Q108</f>
        <v>10580</v>
      </c>
      <c r="BH108" s="31">
        <f>BE108*R108*0.4</f>
        <v>0</v>
      </c>
      <c r="BI108" s="142">
        <f>BE108*T108</f>
        <v>0</v>
      </c>
      <c r="BJ108" s="142">
        <f>BE108*U108*0.4</f>
        <v>4232</v>
      </c>
      <c r="BK108" s="32">
        <f>Y108*BE108</f>
        <v>28244</v>
      </c>
      <c r="BL108" s="25">
        <v>276</v>
      </c>
      <c r="BM108" s="25">
        <v>276</v>
      </c>
      <c r="BN108" s="25">
        <v>276</v>
      </c>
      <c r="BO108" s="25">
        <v>276</v>
      </c>
      <c r="BP108" s="25">
        <f>BE108*AV108</f>
        <v>0</v>
      </c>
      <c r="BQ108" s="25">
        <f>BE108*AX108</f>
        <v>0</v>
      </c>
      <c r="BR108" s="43">
        <f>88+285</f>
        <v>373</v>
      </c>
    </row>
    <row r="109" spans="1:70" s="6" customFormat="1" ht="41.25" customHeight="1">
      <c r="A109" s="18">
        <v>106</v>
      </c>
      <c r="B109" s="18" t="s">
        <v>48</v>
      </c>
      <c r="C109" s="18" t="s">
        <v>81</v>
      </c>
      <c r="D109" s="36" t="s">
        <v>68</v>
      </c>
      <c r="E109" s="22" t="s">
        <v>866</v>
      </c>
      <c r="F109" s="36" t="s">
        <v>70</v>
      </c>
      <c r="G109" s="36" t="s">
        <v>70</v>
      </c>
      <c r="H109" s="22"/>
      <c r="I109" s="37" t="s">
        <v>104</v>
      </c>
      <c r="J109" s="37"/>
      <c r="K109" s="37"/>
      <c r="L109" s="37"/>
      <c r="M109" s="23" t="s">
        <v>72</v>
      </c>
      <c r="N109" s="22" t="s">
        <v>867</v>
      </c>
      <c r="O109" s="23"/>
      <c r="P109" s="23"/>
      <c r="Q109" s="88">
        <v>254</v>
      </c>
      <c r="R109" s="72"/>
      <c r="S109" s="59">
        <v>254</v>
      </c>
      <c r="T109" s="59"/>
      <c r="U109" s="63">
        <v>152</v>
      </c>
      <c r="V109" s="25">
        <v>152</v>
      </c>
      <c r="W109" s="29">
        <v>223</v>
      </c>
      <c r="X109" s="25">
        <v>152</v>
      </c>
      <c r="Y109" s="29">
        <f>T109+R109+Q109+U109+W109</f>
        <v>629</v>
      </c>
      <c r="Z109" s="27">
        <v>1270</v>
      </c>
      <c r="AA109" s="26"/>
      <c r="AB109" s="26"/>
      <c r="AC109" s="26"/>
      <c r="AD109" s="26"/>
      <c r="AE109" s="26"/>
      <c r="AF109" s="26"/>
      <c r="AG109" s="59"/>
      <c r="AH109" s="59"/>
      <c r="AI109" s="59"/>
      <c r="AJ109" s="59"/>
      <c r="AK109" s="59"/>
      <c r="AL109" s="41">
        <f>SUM(AM109:AS109)</f>
        <v>66</v>
      </c>
      <c r="AM109" s="41"/>
      <c r="AN109" s="42">
        <v>0</v>
      </c>
      <c r="AO109" s="42">
        <f>58+8</f>
        <v>66</v>
      </c>
      <c r="AP109" s="42"/>
      <c r="AQ109" s="42"/>
      <c r="AR109" s="42"/>
      <c r="AS109" s="42"/>
      <c r="AT109" s="43"/>
      <c r="AU109" s="43"/>
      <c r="AV109" s="26"/>
      <c r="AW109" s="26"/>
      <c r="AX109" s="43"/>
      <c r="AY109" s="29">
        <f>Y109-AV109-AX109-AW109</f>
        <v>629</v>
      </c>
      <c r="AZ109" s="29">
        <f ca="1">'Layout for trees left'!U12+'Layout for trees right'!I31</f>
        <v>629</v>
      </c>
      <c r="BA109" s="26">
        <f>AL109+AG109+AA109+AT109</f>
        <v>66</v>
      </c>
      <c r="BB109" s="30">
        <f>BD109+AO109+AG109</f>
        <v>629</v>
      </c>
      <c r="BC109" s="30">
        <f>BD109+AS109</f>
        <v>563</v>
      </c>
      <c r="BD109" s="30">
        <f>IF(BA109&gt;0,Y109-BA109,BA109)</f>
        <v>563</v>
      </c>
      <c r="BE109" s="31">
        <v>155</v>
      </c>
      <c r="BF109" s="30" t="s">
        <v>76</v>
      </c>
      <c r="BG109" s="31">
        <f>BE109*Q109</f>
        <v>39370</v>
      </c>
      <c r="BH109" s="31">
        <f>BE109*R109*0.4</f>
        <v>0</v>
      </c>
      <c r="BI109" s="142">
        <f>BE109*T109</f>
        <v>0</v>
      </c>
      <c r="BJ109" s="142">
        <f>BE109*U109*0.4</f>
        <v>9424</v>
      </c>
      <c r="BK109" s="87">
        <f>Y109*BE109</f>
        <v>97495</v>
      </c>
      <c r="BL109" s="59"/>
      <c r="BM109" s="59"/>
      <c r="BN109" s="59"/>
      <c r="BO109" s="59"/>
      <c r="BP109" s="59">
        <f>BE109*AV109</f>
        <v>0</v>
      </c>
      <c r="BQ109" s="25">
        <f>BE109*AX109</f>
        <v>0</v>
      </c>
      <c r="BR109" s="43"/>
    </row>
    <row r="110" spans="1:70" s="6" customFormat="1" ht="41.25" customHeight="1">
      <c r="A110" s="18">
        <v>107</v>
      </c>
      <c r="B110" s="18" t="s">
        <v>58</v>
      </c>
      <c r="C110" s="18" t="s">
        <v>259</v>
      </c>
      <c r="D110" s="21" t="s">
        <v>50</v>
      </c>
      <c r="E110" s="22" t="s">
        <v>868</v>
      </c>
      <c r="F110" s="79" t="s">
        <v>532</v>
      </c>
      <c r="G110" s="34" t="s">
        <v>128</v>
      </c>
      <c r="H110" s="22"/>
      <c r="I110" s="22"/>
      <c r="J110" s="22">
        <v>300</v>
      </c>
      <c r="K110" s="22" t="s">
        <v>626</v>
      </c>
      <c r="L110" s="22"/>
      <c r="M110" s="23"/>
      <c r="N110" s="22" t="s">
        <v>869</v>
      </c>
      <c r="O110" s="23"/>
      <c r="P110" s="18" t="s">
        <v>65</v>
      </c>
      <c r="Q110" s="88">
        <v>600</v>
      </c>
      <c r="R110" s="144"/>
      <c r="S110" s="25">
        <v>40000</v>
      </c>
      <c r="T110" s="26"/>
      <c r="U110" s="26"/>
      <c r="V110" s="25">
        <v>40000</v>
      </c>
      <c r="W110" s="26"/>
      <c r="X110" s="30">
        <v>5000</v>
      </c>
      <c r="Y110" s="53">
        <f>T110+R110+Q110+U110+W110</f>
        <v>600</v>
      </c>
      <c r="Z110" s="27">
        <v>280000</v>
      </c>
      <c r="AA110" s="64">
        <f>SUBTOTAL(9,AB110:AF110)</f>
        <v>600</v>
      </c>
      <c r="AB110" s="64">
        <v>600</v>
      </c>
      <c r="AC110" s="26"/>
      <c r="AD110" s="26"/>
      <c r="AE110" s="26"/>
      <c r="AF110" s="26"/>
      <c r="AG110" s="57">
        <f>SUBTOTAL(9,AH110:AK110)</f>
        <v>22089</v>
      </c>
      <c r="AH110" s="57">
        <v>6241</v>
      </c>
      <c r="AI110" s="57">
        <v>14946</v>
      </c>
      <c r="AJ110" s="26"/>
      <c r="AK110" s="57">
        <v>902</v>
      </c>
      <c r="AL110" s="26">
        <f>SUM(AM110:AS110)</f>
        <v>0</v>
      </c>
      <c r="AM110" s="26"/>
      <c r="AN110" s="26"/>
      <c r="AO110" s="26"/>
      <c r="AP110" s="26"/>
      <c r="AQ110" s="26"/>
      <c r="AR110" s="26"/>
      <c r="AS110" s="26"/>
      <c r="AT110" s="28"/>
      <c r="AU110" s="28"/>
      <c r="AV110" s="26"/>
      <c r="AW110" s="64">
        <v>600</v>
      </c>
      <c r="AX110" s="28"/>
      <c r="AY110" s="72">
        <f>Y110-AV110-AX110-AW110</f>
        <v>0</v>
      </c>
      <c r="AZ110" s="68"/>
      <c r="BA110" s="26">
        <f>AL110+AG110+AA110+AT110</f>
        <v>22689</v>
      </c>
      <c r="BB110" s="30">
        <f>BD110+AO110+AG110</f>
        <v>0</v>
      </c>
      <c r="BC110" s="30">
        <f>BD110+AS110</f>
        <v>-22089</v>
      </c>
      <c r="BD110" s="30">
        <f>IF(BA110&gt;0,Y110-BA110,BA110)</f>
        <v>-22089</v>
      </c>
      <c r="BE110" s="31">
        <v>40</v>
      </c>
      <c r="BF110" s="30" t="s">
        <v>76</v>
      </c>
      <c r="BG110" s="31">
        <f>BE110*Q110</f>
        <v>24000</v>
      </c>
      <c r="BH110" s="31">
        <f>BE110*R110*0.4</f>
        <v>0</v>
      </c>
      <c r="BI110" s="142">
        <f>BE110*T110</f>
        <v>0</v>
      </c>
      <c r="BJ110" s="142">
        <f>BE110*U110*0.4</f>
        <v>0</v>
      </c>
      <c r="BK110" s="32">
        <f>Y110*BE110</f>
        <v>24000</v>
      </c>
      <c r="BL110" s="30">
        <v>5000</v>
      </c>
      <c r="BM110" s="30">
        <v>5000</v>
      </c>
      <c r="BN110" s="30">
        <v>5000</v>
      </c>
      <c r="BO110" s="30">
        <v>5000</v>
      </c>
      <c r="BP110" s="30">
        <f>BE110*AV110</f>
        <v>0</v>
      </c>
      <c r="BQ110" s="25">
        <f>BE110*AX110</f>
        <v>0</v>
      </c>
      <c r="BR110" s="28"/>
    </row>
    <row r="111" spans="1:70" s="6" customFormat="1" ht="41.25" customHeight="1">
      <c r="A111" s="18">
        <v>108</v>
      </c>
      <c r="B111" s="18" t="s">
        <v>58</v>
      </c>
      <c r="C111" s="18" t="s">
        <v>259</v>
      </c>
      <c r="D111" s="21" t="s">
        <v>50</v>
      </c>
      <c r="E111" s="22" t="s">
        <v>868</v>
      </c>
      <c r="F111" s="52" t="s">
        <v>123</v>
      </c>
      <c r="G111" s="48" t="s">
        <v>239</v>
      </c>
      <c r="H111" s="22"/>
      <c r="I111" s="22"/>
      <c r="J111" s="22"/>
      <c r="K111" s="22"/>
      <c r="L111" s="22" t="s">
        <v>119</v>
      </c>
      <c r="M111" s="23"/>
      <c r="N111" s="22" t="s">
        <v>870</v>
      </c>
      <c r="O111" s="23" t="s">
        <v>871</v>
      </c>
      <c r="P111" s="18" t="s">
        <v>56</v>
      </c>
      <c r="Q111" s="144"/>
      <c r="R111" s="144"/>
      <c r="S111" s="25">
        <v>1820</v>
      </c>
      <c r="T111" s="26"/>
      <c r="U111" s="26"/>
      <c r="V111" s="25">
        <v>1820</v>
      </c>
      <c r="W111" s="26"/>
      <c r="X111" s="25">
        <v>1092</v>
      </c>
      <c r="Y111" s="26">
        <f>T111+R111+Q111+U111+W111</f>
        <v>0</v>
      </c>
      <c r="Z111" s="27">
        <v>9100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>
        <f>SUM(AM111:AS111)</f>
        <v>0</v>
      </c>
      <c r="AM111" s="26"/>
      <c r="AN111" s="26"/>
      <c r="AO111" s="26"/>
      <c r="AP111" s="26"/>
      <c r="AQ111" s="26"/>
      <c r="AR111" s="26"/>
      <c r="AS111" s="26"/>
      <c r="AT111" s="28"/>
      <c r="AU111" s="28"/>
      <c r="AV111" s="26"/>
      <c r="AW111" s="26"/>
      <c r="AX111" s="28"/>
      <c r="AY111" s="72">
        <f>Y111-AV111-AX111-AW111</f>
        <v>0</v>
      </c>
      <c r="AZ111" s="68"/>
      <c r="BA111" s="26">
        <f>AL111+AG111+AA111+AT111</f>
        <v>0</v>
      </c>
      <c r="BB111" s="30">
        <f>BD111+AO111+AG111</f>
        <v>0</v>
      </c>
      <c r="BC111" s="30">
        <f>BD111+AS111</f>
        <v>0</v>
      </c>
      <c r="BD111" s="30">
        <f>IF(BA111&gt;0,Y111-BA111,BA111)</f>
        <v>0</v>
      </c>
      <c r="BE111" s="31">
        <v>11</v>
      </c>
      <c r="BF111" s="30" t="s">
        <v>76</v>
      </c>
      <c r="BG111" s="31">
        <f>BE111*Q111</f>
        <v>0</v>
      </c>
      <c r="BH111" s="31">
        <f>BE111*R111*0.4</f>
        <v>0</v>
      </c>
      <c r="BI111" s="142">
        <f>BE111*T111</f>
        <v>0</v>
      </c>
      <c r="BJ111" s="142">
        <f>BE111*U111*0.4</f>
        <v>0</v>
      </c>
      <c r="BK111" s="32">
        <f>Y111*BE111</f>
        <v>0</v>
      </c>
      <c r="BL111" s="25">
        <v>1092</v>
      </c>
      <c r="BM111" s="25">
        <v>1092</v>
      </c>
      <c r="BN111" s="25">
        <v>1092</v>
      </c>
      <c r="BO111" s="25">
        <v>1092</v>
      </c>
      <c r="BP111" s="25">
        <f>BE111*AV111</f>
        <v>0</v>
      </c>
      <c r="BQ111" s="25">
        <f>BE111*AX111</f>
        <v>0</v>
      </c>
      <c r="BR111" s="28"/>
    </row>
    <row r="112" spans="1:70" s="6" customFormat="1" ht="41.25" customHeight="1">
      <c r="A112" s="18">
        <v>109</v>
      </c>
      <c r="B112" s="18" t="s">
        <v>191</v>
      </c>
      <c r="C112" s="18" t="s">
        <v>192</v>
      </c>
      <c r="D112" s="21" t="s">
        <v>50</v>
      </c>
      <c r="E112" s="22" t="s">
        <v>873</v>
      </c>
      <c r="F112" s="58" t="s">
        <v>146</v>
      </c>
      <c r="G112" s="58" t="s">
        <v>147</v>
      </c>
      <c r="H112" s="22"/>
      <c r="I112" s="22"/>
      <c r="J112" s="22"/>
      <c r="K112" s="22"/>
      <c r="L112" s="22"/>
      <c r="M112" s="23"/>
      <c r="N112" s="22" t="s">
        <v>874</v>
      </c>
      <c r="O112" s="23" t="s">
        <v>875</v>
      </c>
      <c r="P112" s="38" t="s">
        <v>56</v>
      </c>
      <c r="Q112" s="29">
        <v>3440</v>
      </c>
      <c r="R112" s="72"/>
      <c r="S112" s="40">
        <v>3440</v>
      </c>
      <c r="T112" s="63">
        <f>2588+500</f>
        <v>3088</v>
      </c>
      <c r="U112" s="26"/>
      <c r="V112" s="25">
        <v>3440</v>
      </c>
      <c r="W112" s="26"/>
      <c r="X112" s="25">
        <v>2064</v>
      </c>
      <c r="Y112" s="29">
        <f>T112+R112+Q112+U112+W112</f>
        <v>6528</v>
      </c>
      <c r="Z112" s="27">
        <v>17200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41">
        <f>SUM(AM112:AS112)</f>
        <v>2122</v>
      </c>
      <c r="AM112" s="41"/>
      <c r="AN112" s="49">
        <v>0</v>
      </c>
      <c r="AO112" s="49">
        <v>2122</v>
      </c>
      <c r="AP112" s="49"/>
      <c r="AQ112" s="49"/>
      <c r="AR112" s="49"/>
      <c r="AS112" s="49"/>
      <c r="AT112" s="43"/>
      <c r="AU112" s="43"/>
      <c r="AV112" s="26"/>
      <c r="AW112" s="26"/>
      <c r="AX112" s="43"/>
      <c r="AY112" s="29">
        <f>Y112-AV112-AX112-AW112</f>
        <v>6528</v>
      </c>
      <c r="AZ112" s="29">
        <f ca="1">'Layout for shadhous 1&amp;2'!I61+'Layout for shadhous 3'!M58</f>
        <v>6528</v>
      </c>
      <c r="BA112" s="26">
        <f>AL112+AG112+AA112+AT112</f>
        <v>2122</v>
      </c>
      <c r="BB112" s="30">
        <f>BD112+AO112+AG112</f>
        <v>6528</v>
      </c>
      <c r="BC112" s="30">
        <f>BD112+AS112</f>
        <v>4406</v>
      </c>
      <c r="BD112" s="30">
        <f>IF(BA112&gt;0,Y112-BA112,BA112)</f>
        <v>4406</v>
      </c>
      <c r="BE112" s="31">
        <v>11</v>
      </c>
      <c r="BF112" s="30" t="s">
        <v>76</v>
      </c>
      <c r="BG112" s="31">
        <f>BE112*Q112</f>
        <v>37840</v>
      </c>
      <c r="BH112" s="31">
        <f>BE112*R112*0.4</f>
        <v>0</v>
      </c>
      <c r="BI112" s="142">
        <f>BE112*T112</f>
        <v>33968</v>
      </c>
      <c r="BJ112" s="142">
        <f>BE112*U112*0.4</f>
        <v>0</v>
      </c>
      <c r="BK112" s="32">
        <f>Y112*BE112</f>
        <v>71808</v>
      </c>
      <c r="BL112" s="25">
        <v>2064</v>
      </c>
      <c r="BM112" s="25">
        <v>2064</v>
      </c>
      <c r="BN112" s="25">
        <v>2064</v>
      </c>
      <c r="BO112" s="25">
        <v>2064</v>
      </c>
      <c r="BP112" s="25">
        <f>BE112*AV112</f>
        <v>0</v>
      </c>
      <c r="BQ112" s="25">
        <f>BE112*AX112</f>
        <v>0</v>
      </c>
      <c r="BR112" s="43"/>
    </row>
    <row r="113" spans="1:70" s="6" customFormat="1" ht="41.25" customHeight="1">
      <c r="A113" s="18">
        <v>110</v>
      </c>
      <c r="B113" s="18" t="s">
        <v>58</v>
      </c>
      <c r="C113" s="18" t="s">
        <v>547</v>
      </c>
      <c r="D113" s="36" t="s">
        <v>68</v>
      </c>
      <c r="E113" s="22" t="s">
        <v>876</v>
      </c>
      <c r="F113" s="36" t="s">
        <v>70</v>
      </c>
      <c r="G113" s="36" t="s">
        <v>70</v>
      </c>
      <c r="H113" s="22"/>
      <c r="I113" s="37" t="s">
        <v>104</v>
      </c>
      <c r="J113" s="37"/>
      <c r="K113" s="37"/>
      <c r="L113" s="22"/>
      <c r="M113" s="23" t="s">
        <v>72</v>
      </c>
      <c r="N113" s="22" t="s">
        <v>877</v>
      </c>
      <c r="O113" s="23"/>
      <c r="P113" s="38" t="s">
        <v>56</v>
      </c>
      <c r="Q113" s="29">
        <v>14</v>
      </c>
      <c r="R113" s="72"/>
      <c r="S113" s="40">
        <v>14</v>
      </c>
      <c r="T113" s="63">
        <v>8</v>
      </c>
      <c r="U113" s="26"/>
      <c r="V113" s="25">
        <v>8</v>
      </c>
      <c r="W113" s="29">
        <v>14</v>
      </c>
      <c r="X113" s="25">
        <v>8</v>
      </c>
      <c r="Y113" s="29">
        <f>T113+R113+Q113+U113+W113</f>
        <v>36</v>
      </c>
      <c r="Z113" s="27">
        <v>70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>
        <f>SUM(AM113:AS113)</f>
        <v>0</v>
      </c>
      <c r="AM113" s="26"/>
      <c r="AN113" s="26"/>
      <c r="AO113" s="26"/>
      <c r="AP113" s="26"/>
      <c r="AQ113" s="26"/>
      <c r="AR113" s="26"/>
      <c r="AS113" s="26"/>
      <c r="AT113" s="28"/>
      <c r="AU113" s="28"/>
      <c r="AV113" s="26"/>
      <c r="AW113" s="26"/>
      <c r="AX113" s="28"/>
      <c r="AY113" s="29">
        <f>Y113-AV113-AX113-AW113</f>
        <v>36</v>
      </c>
      <c r="AZ113" s="29">
        <f>'Layout for trees right'!I32</f>
        <v>36</v>
      </c>
      <c r="BA113" s="26">
        <f>AL113+AG113+AA113+AT113</f>
        <v>0</v>
      </c>
      <c r="BB113" s="30">
        <f>BD113+AO113+AG113</f>
        <v>0</v>
      </c>
      <c r="BC113" s="30">
        <f>BD113+AS113</f>
        <v>0</v>
      </c>
      <c r="BD113" s="30">
        <f>IF(BA113&gt;0,Y113-BA113,BA113)</f>
        <v>0</v>
      </c>
      <c r="BE113" s="31">
        <v>154</v>
      </c>
      <c r="BF113" s="30" t="s">
        <v>76</v>
      </c>
      <c r="BG113" s="31">
        <f>BE113*Q113</f>
        <v>2156</v>
      </c>
      <c r="BH113" s="31">
        <f>BE113*R113*0.4</f>
        <v>0</v>
      </c>
      <c r="BI113" s="142">
        <f>BE113*T113</f>
        <v>1232</v>
      </c>
      <c r="BJ113" s="142">
        <f>BE113*U113*0.4</f>
        <v>0</v>
      </c>
      <c r="BK113" s="32">
        <f>Y113*BE113</f>
        <v>5544</v>
      </c>
      <c r="BL113" s="25">
        <v>8</v>
      </c>
      <c r="BM113" s="25">
        <v>8</v>
      </c>
      <c r="BN113" s="25">
        <v>8</v>
      </c>
      <c r="BO113" s="25">
        <v>16</v>
      </c>
      <c r="BP113" s="25">
        <f>BE113*AV113</f>
        <v>0</v>
      </c>
      <c r="BQ113" s="25">
        <f>BE113*AX113</f>
        <v>0</v>
      </c>
      <c r="BR113" s="28"/>
    </row>
    <row r="114" spans="1:70" s="6" customFormat="1" ht="41.25" customHeight="1">
      <c r="A114" s="18">
        <v>111</v>
      </c>
      <c r="B114" s="50" t="s">
        <v>66</v>
      </c>
      <c r="C114" s="44" t="s">
        <v>139</v>
      </c>
      <c r="D114" s="56" t="s">
        <v>50</v>
      </c>
      <c r="E114" s="50" t="s">
        <v>864</v>
      </c>
      <c r="F114" s="34" t="s">
        <v>128</v>
      </c>
      <c r="G114" s="34" t="s">
        <v>128</v>
      </c>
      <c r="H114" s="50">
        <v>200</v>
      </c>
      <c r="I114" s="50">
        <v>300</v>
      </c>
      <c r="J114" s="50"/>
      <c r="K114" s="50"/>
      <c r="L114" s="50"/>
      <c r="M114" s="23"/>
      <c r="N114" s="22" t="s">
        <v>879</v>
      </c>
      <c r="O114" s="23" t="s">
        <v>880</v>
      </c>
      <c r="P114" s="38" t="s">
        <v>56</v>
      </c>
      <c r="Q114" s="88">
        <v>10980</v>
      </c>
      <c r="R114" s="72"/>
      <c r="S114" s="40">
        <v>10980</v>
      </c>
      <c r="T114" s="63">
        <v>3820</v>
      </c>
      <c r="U114" s="26"/>
      <c r="V114" s="25">
        <v>10980</v>
      </c>
      <c r="W114" s="26"/>
      <c r="X114" s="25">
        <v>6588</v>
      </c>
      <c r="Y114" s="29">
        <f>T114+R114+Q114+U114+W114</f>
        <v>14800</v>
      </c>
      <c r="Z114" s="27">
        <v>54900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41">
        <f>SUM(AM114:AS114)</f>
        <v>54</v>
      </c>
      <c r="AM114" s="41"/>
      <c r="AN114" s="49">
        <v>54</v>
      </c>
      <c r="AO114" s="49"/>
      <c r="AP114" s="49"/>
      <c r="AQ114" s="49"/>
      <c r="AR114" s="49"/>
      <c r="AS114" s="49"/>
      <c r="AT114" s="43"/>
      <c r="AU114" s="43"/>
      <c r="AV114" s="26"/>
      <c r="AW114" s="26"/>
      <c r="AX114" s="43"/>
      <c r="AY114" s="29">
        <f>Y114-AV114-AX114-AW114</f>
        <v>14800</v>
      </c>
      <c r="AZ114" s="29">
        <f ca="1">'Layout for shadhous 1&amp;2'!I58</f>
        <v>14800</v>
      </c>
      <c r="BA114" s="26">
        <f>AL114+AG114+AA114+AT114</f>
        <v>54</v>
      </c>
      <c r="BB114" s="30">
        <f>BD114+AO114+AG114</f>
        <v>14746</v>
      </c>
      <c r="BC114" s="30">
        <f>BD114+AS114</f>
        <v>14746</v>
      </c>
      <c r="BD114" s="30">
        <f>IF(BA114&gt;0,Y114-BA114,BA114)</f>
        <v>14746</v>
      </c>
      <c r="BE114" s="31">
        <v>23</v>
      </c>
      <c r="BF114" s="30" t="s">
        <v>76</v>
      </c>
      <c r="BG114" s="31">
        <f>BE114*Q114</f>
        <v>252540</v>
      </c>
      <c r="BH114" s="31">
        <f>BE114*R114*0.4</f>
        <v>0</v>
      </c>
      <c r="BI114" s="142">
        <f>BE114*T114</f>
        <v>87860</v>
      </c>
      <c r="BJ114" s="142">
        <f>BE114*U114*0.4</f>
        <v>0</v>
      </c>
      <c r="BK114" s="32">
        <f>Y114*BE114</f>
        <v>340400</v>
      </c>
      <c r="BL114" s="25">
        <v>6588</v>
      </c>
      <c r="BM114" s="25">
        <v>6588</v>
      </c>
      <c r="BN114" s="25">
        <v>6588</v>
      </c>
      <c r="BO114" s="25">
        <v>6588</v>
      </c>
      <c r="BP114" s="25">
        <f>BE114*AV114</f>
        <v>0</v>
      </c>
      <c r="BQ114" s="25">
        <f>BE114*AX114</f>
        <v>0</v>
      </c>
      <c r="BR114" s="43"/>
    </row>
    <row r="115" spans="1:70" s="6" customFormat="1" ht="41.25" customHeight="1">
      <c r="A115" s="18">
        <v>112</v>
      </c>
      <c r="B115" s="18" t="s">
        <v>191</v>
      </c>
      <c r="C115" s="18" t="s">
        <v>192</v>
      </c>
      <c r="D115" s="21" t="s">
        <v>50</v>
      </c>
      <c r="E115" s="22" t="s">
        <v>873</v>
      </c>
      <c r="F115" s="52" t="s">
        <v>123</v>
      </c>
      <c r="G115" s="34" t="s">
        <v>128</v>
      </c>
      <c r="H115" s="22">
        <v>300</v>
      </c>
      <c r="I115" s="22">
        <v>500</v>
      </c>
      <c r="J115" s="22"/>
      <c r="K115" s="22"/>
      <c r="L115" s="22"/>
      <c r="M115" s="23"/>
      <c r="N115" s="22" t="s">
        <v>881</v>
      </c>
      <c r="O115" s="23"/>
      <c r="P115" s="38" t="s">
        <v>56</v>
      </c>
      <c r="Q115" s="172">
        <v>2880</v>
      </c>
      <c r="R115" s="144"/>
      <c r="S115" s="40">
        <v>2880</v>
      </c>
      <c r="T115" s="73">
        <v>2880</v>
      </c>
      <c r="U115" s="26"/>
      <c r="V115" s="25">
        <v>2880</v>
      </c>
      <c r="W115" s="29">
        <f>2182-377+1800</f>
        <v>3605</v>
      </c>
      <c r="X115" s="25">
        <v>1728</v>
      </c>
      <c r="Y115" s="29">
        <f>T115+R115+Q115+U115+W115</f>
        <v>9365</v>
      </c>
      <c r="Z115" s="27">
        <v>14400</v>
      </c>
      <c r="AA115" s="64">
        <f>SUBTOTAL(9,AB115:AF115)</f>
        <v>3767</v>
      </c>
      <c r="AB115" s="64">
        <v>744</v>
      </c>
      <c r="AC115" s="64">
        <v>414</v>
      </c>
      <c r="AD115" s="64">
        <v>1458</v>
      </c>
      <c r="AE115" s="64">
        <v>1151</v>
      </c>
      <c r="AF115" s="26"/>
      <c r="AG115" s="26"/>
      <c r="AH115" s="26"/>
      <c r="AI115" s="26"/>
      <c r="AJ115" s="26"/>
      <c r="AK115" s="26"/>
      <c r="AL115" s="41">
        <f>SUM(AM115:AS115)</f>
        <v>13362</v>
      </c>
      <c r="AM115" s="41">
        <v>1948</v>
      </c>
      <c r="AN115" s="49">
        <v>8000</v>
      </c>
      <c r="AO115" s="49">
        <v>3414</v>
      </c>
      <c r="AP115" s="49"/>
      <c r="AQ115" s="49"/>
      <c r="AR115" s="49"/>
      <c r="AS115" s="49"/>
      <c r="AT115" s="43"/>
      <c r="AU115" s="43"/>
      <c r="AV115" s="41">
        <f>300+103+1545</f>
        <v>1948</v>
      </c>
      <c r="AW115" s="64">
        <f>744+414+1458+1151</f>
        <v>3767</v>
      </c>
      <c r="AX115" s="43"/>
      <c r="AY115" s="29">
        <f>Y115-AV115-AX115-AW115</f>
        <v>3650</v>
      </c>
      <c r="AZ115" s="29">
        <f ca="1">'Layout for shadhous 1&amp;2'!I60</f>
        <v>3650</v>
      </c>
      <c r="BA115" s="26">
        <f>AL115+AG115+AA115+AT115</f>
        <v>17129</v>
      </c>
      <c r="BB115" s="30">
        <f>BD115+AO115+AG115</f>
        <v>-4350</v>
      </c>
      <c r="BC115" s="30">
        <f>BD115+AS115</f>
        <v>-7764</v>
      </c>
      <c r="BD115" s="30">
        <f>IF(BA115&gt;0,Y115-BA115,BA115)</f>
        <v>-7764</v>
      </c>
      <c r="BE115" s="31">
        <v>11</v>
      </c>
      <c r="BF115" s="30" t="s">
        <v>76</v>
      </c>
      <c r="BG115" s="31">
        <f>BE115*Q115</f>
        <v>31680</v>
      </c>
      <c r="BH115" s="31">
        <f>BE115*R115*0.4</f>
        <v>0</v>
      </c>
      <c r="BI115" s="31">
        <f>BE115*T115</f>
        <v>31680</v>
      </c>
      <c r="BJ115" s="31">
        <f>BE115*U115*0.4</f>
        <v>0</v>
      </c>
      <c r="BK115" s="32">
        <f>Y115*BE115</f>
        <v>103015</v>
      </c>
      <c r="BL115" s="25">
        <v>1728</v>
      </c>
      <c r="BM115" s="25">
        <v>1728</v>
      </c>
      <c r="BN115" s="25">
        <v>1728</v>
      </c>
      <c r="BO115" s="25">
        <v>1728</v>
      </c>
      <c r="BP115" s="25">
        <f>BE115*AV115</f>
        <v>21428</v>
      </c>
      <c r="BQ115" s="25">
        <f>BE115*AX115</f>
        <v>0</v>
      </c>
      <c r="BR115" s="43"/>
    </row>
    <row r="116" spans="1:70" s="6" customFormat="1" ht="41.25" customHeight="1">
      <c r="A116" s="18">
        <v>113</v>
      </c>
      <c r="B116" s="18" t="s">
        <v>191</v>
      </c>
      <c r="C116" s="18" t="s">
        <v>192</v>
      </c>
      <c r="D116" s="21" t="s">
        <v>50</v>
      </c>
      <c r="E116" s="22" t="s">
        <v>882</v>
      </c>
      <c r="F116" s="52" t="s">
        <v>123</v>
      </c>
      <c r="G116" s="34" t="s">
        <v>128</v>
      </c>
      <c r="H116" s="22">
        <v>300</v>
      </c>
      <c r="I116" s="22">
        <v>500</v>
      </c>
      <c r="J116" s="22"/>
      <c r="K116" s="22"/>
      <c r="L116" s="22"/>
      <c r="M116" s="23"/>
      <c r="N116" s="22" t="s">
        <v>883</v>
      </c>
      <c r="O116" s="23"/>
      <c r="P116" s="38" t="s">
        <v>56</v>
      </c>
      <c r="Q116" s="88">
        <v>4680</v>
      </c>
      <c r="R116" s="144"/>
      <c r="S116" s="40">
        <v>4680</v>
      </c>
      <c r="T116" s="63">
        <f>4000-171+136</f>
        <v>3965</v>
      </c>
      <c r="U116" s="26"/>
      <c r="V116" s="25">
        <v>4680</v>
      </c>
      <c r="W116" s="26"/>
      <c r="X116" s="25">
        <v>2808</v>
      </c>
      <c r="Y116" s="29">
        <f>T116+R116+Q116+U116+W116</f>
        <v>8645</v>
      </c>
      <c r="Z116" s="27">
        <v>23400</v>
      </c>
      <c r="AA116" s="64">
        <f>SUBTOTAL(9,AB116:AF116)</f>
        <v>3475</v>
      </c>
      <c r="AB116" s="64">
        <v>529</v>
      </c>
      <c r="AC116" s="64">
        <v>1018</v>
      </c>
      <c r="AD116" s="64">
        <v>1092</v>
      </c>
      <c r="AE116" s="64">
        <v>836</v>
      </c>
      <c r="AF116" s="26"/>
      <c r="AG116" s="26"/>
      <c r="AH116" s="26"/>
      <c r="AI116" s="26"/>
      <c r="AJ116" s="26"/>
      <c r="AK116" s="26"/>
      <c r="AL116" s="41">
        <f>SUM(AM116:AS116)</f>
        <v>9246</v>
      </c>
      <c r="AM116" s="41">
        <v>880</v>
      </c>
      <c r="AN116" s="49">
        <v>5000</v>
      </c>
      <c r="AO116" s="49">
        <v>3366</v>
      </c>
      <c r="AP116" s="49"/>
      <c r="AQ116" s="49"/>
      <c r="AR116" s="49"/>
      <c r="AS116" s="49"/>
      <c r="AT116" s="43"/>
      <c r="AU116" s="43"/>
      <c r="AV116" s="41">
        <f>200+320+270+90</f>
        <v>880</v>
      </c>
      <c r="AW116" s="64">
        <f>529+1018+1092+836</f>
        <v>3475</v>
      </c>
      <c r="AX116" s="43"/>
      <c r="AY116" s="29">
        <f>Y116-AV116-AX116-AW116</f>
        <v>4290</v>
      </c>
      <c r="AZ116" s="29">
        <f ca="1">'Layout for shadhous 1&amp;2'!I59</f>
        <v>4290</v>
      </c>
      <c r="BA116" s="26">
        <f>AL116+AG116+AA116+AT116</f>
        <v>12721</v>
      </c>
      <c r="BB116" s="30">
        <f>BD116+AO116+AG116</f>
        <v>-710</v>
      </c>
      <c r="BC116" s="30">
        <f>BD116+AS116</f>
        <v>-4076</v>
      </c>
      <c r="BD116" s="30">
        <f>IF(BA116&gt;0,Y116-BA116,BA116)</f>
        <v>-4076</v>
      </c>
      <c r="BE116" s="31">
        <v>7</v>
      </c>
      <c r="BF116" s="30" t="s">
        <v>76</v>
      </c>
      <c r="BG116" s="31">
        <f>BE116*Q116</f>
        <v>32760</v>
      </c>
      <c r="BH116" s="31">
        <f>BE116*R116*0.4</f>
        <v>0</v>
      </c>
      <c r="BI116" s="142">
        <f>BE116*T116</f>
        <v>27755</v>
      </c>
      <c r="BJ116" s="142">
        <f>BE116*U116*0.4</f>
        <v>0</v>
      </c>
      <c r="BK116" s="32">
        <f>Y116*BE116</f>
        <v>60515</v>
      </c>
      <c r="BL116" s="25">
        <v>2808</v>
      </c>
      <c r="BM116" s="25">
        <v>2808</v>
      </c>
      <c r="BN116" s="25">
        <v>2808</v>
      </c>
      <c r="BO116" s="25">
        <v>2808</v>
      </c>
      <c r="BP116" s="25">
        <f>BE116*AV116</f>
        <v>6160</v>
      </c>
      <c r="BQ116" s="25">
        <f>BE116*AX116</f>
        <v>0</v>
      </c>
      <c r="BR116" s="43"/>
    </row>
    <row r="117" spans="1:70" s="6" customFormat="1" ht="41.25" customHeight="1">
      <c r="A117" s="18">
        <v>114</v>
      </c>
      <c r="B117" s="18" t="s">
        <v>191</v>
      </c>
      <c r="C117" s="18" t="s">
        <v>192</v>
      </c>
      <c r="D117" s="21" t="s">
        <v>50</v>
      </c>
      <c r="E117" s="22" t="s">
        <v>882</v>
      </c>
      <c r="F117" s="52" t="s">
        <v>123</v>
      </c>
      <c r="G117" s="52" t="s">
        <v>123</v>
      </c>
      <c r="H117" s="22">
        <v>120</v>
      </c>
      <c r="I117" s="22">
        <v>200</v>
      </c>
      <c r="J117" s="22"/>
      <c r="K117" s="22"/>
      <c r="L117" s="22"/>
      <c r="M117" s="23"/>
      <c r="N117" s="22" t="s">
        <v>884</v>
      </c>
      <c r="O117" s="23"/>
      <c r="P117" s="18" t="s">
        <v>56</v>
      </c>
      <c r="Q117" s="88">
        <v>40</v>
      </c>
      <c r="R117" s="144"/>
      <c r="S117" s="25">
        <v>40</v>
      </c>
      <c r="T117" s="26"/>
      <c r="U117" s="26"/>
      <c r="V117" s="25">
        <v>40</v>
      </c>
      <c r="W117" s="26"/>
      <c r="X117" s="25">
        <v>24</v>
      </c>
      <c r="Y117" s="29">
        <f>T117+R117+Q117+U117+W117</f>
        <v>40</v>
      </c>
      <c r="Z117" s="27">
        <v>200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>
        <f>SUM(AM117:AS117)</f>
        <v>0</v>
      </c>
      <c r="AM117" s="26"/>
      <c r="AN117" s="26"/>
      <c r="AO117" s="26"/>
      <c r="AP117" s="26"/>
      <c r="AQ117" s="26"/>
      <c r="AR117" s="26"/>
      <c r="AS117" s="26"/>
      <c r="AT117" s="28"/>
      <c r="AU117" s="28"/>
      <c r="AV117" s="26"/>
      <c r="AW117" s="26"/>
      <c r="AX117" s="28"/>
      <c r="AY117" s="29">
        <f>Y117-AV117-AX117-AW117</f>
        <v>40</v>
      </c>
      <c r="AZ117" s="29">
        <f ca="1">'Layout for shadhous 1&amp;2'!I62</f>
        <v>12</v>
      </c>
      <c r="BA117" s="26">
        <f>AL117+AG117+AA117+AT117</f>
        <v>0</v>
      </c>
      <c r="BB117" s="30">
        <f>BD117+AO117+AG117</f>
        <v>0</v>
      </c>
      <c r="BC117" s="30">
        <f>BD117+AS117</f>
        <v>0</v>
      </c>
      <c r="BD117" s="30">
        <f>IF(BA117&gt;0,Y117-BA117,BA117)</f>
        <v>0</v>
      </c>
      <c r="BE117" s="31">
        <v>11</v>
      </c>
      <c r="BF117" s="30" t="s">
        <v>76</v>
      </c>
      <c r="BG117" s="31">
        <f>BE117*Q117</f>
        <v>440</v>
      </c>
      <c r="BH117" s="31">
        <f>BE117*R117*0.4</f>
        <v>0</v>
      </c>
      <c r="BI117" s="142">
        <f>BE117*T117</f>
        <v>0</v>
      </c>
      <c r="BJ117" s="142">
        <f>BE117*U117*0.4</f>
        <v>0</v>
      </c>
      <c r="BK117" s="32">
        <f>Y117*BE117</f>
        <v>440</v>
      </c>
      <c r="BL117" s="25">
        <v>24</v>
      </c>
      <c r="BM117" s="25">
        <v>24</v>
      </c>
      <c r="BN117" s="25">
        <v>24</v>
      </c>
      <c r="BO117" s="25">
        <v>24</v>
      </c>
      <c r="BP117" s="25">
        <f>BE117*AV117</f>
        <v>0</v>
      </c>
      <c r="BQ117" s="25">
        <f>BE117*AX117</f>
        <v>0</v>
      </c>
      <c r="BR117" s="28">
        <f>20</f>
        <v>20</v>
      </c>
    </row>
    <row r="118" spans="1:70" s="6" customFormat="1" ht="41.25" customHeight="1">
      <c r="A118" s="18">
        <v>115</v>
      </c>
      <c r="B118" s="18" t="s">
        <v>191</v>
      </c>
      <c r="C118" s="18" t="s">
        <v>192</v>
      </c>
      <c r="D118" s="21" t="s">
        <v>50</v>
      </c>
      <c r="E118" s="22" t="s">
        <v>891</v>
      </c>
      <c r="F118" s="52" t="s">
        <v>123</v>
      </c>
      <c r="G118" s="21" t="s">
        <v>52</v>
      </c>
      <c r="H118" s="22">
        <v>120</v>
      </c>
      <c r="I118" s="22">
        <v>200</v>
      </c>
      <c r="J118" s="22"/>
      <c r="K118" s="22"/>
      <c r="L118" s="22" t="s">
        <v>52</v>
      </c>
      <c r="M118" s="23"/>
      <c r="N118" s="22" t="s">
        <v>892</v>
      </c>
      <c r="O118" s="23" t="s">
        <v>242</v>
      </c>
      <c r="P118" s="18" t="s">
        <v>56</v>
      </c>
      <c r="Q118" s="144"/>
      <c r="R118" s="144"/>
      <c r="S118" s="25">
        <v>260</v>
      </c>
      <c r="T118" s="26"/>
      <c r="U118" s="26"/>
      <c r="V118" s="25">
        <v>260</v>
      </c>
      <c r="W118" s="26"/>
      <c r="X118" s="25">
        <v>156</v>
      </c>
      <c r="Y118" s="26">
        <f>T118+R118+Q118+U118+W118</f>
        <v>0</v>
      </c>
      <c r="Z118" s="27">
        <v>1300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>
        <f>SUM(AM118:AS118)</f>
        <v>0</v>
      </c>
      <c r="AM118" s="26"/>
      <c r="AN118" s="26"/>
      <c r="AO118" s="26"/>
      <c r="AP118" s="26"/>
      <c r="AQ118" s="26"/>
      <c r="AR118" s="26"/>
      <c r="AS118" s="26"/>
      <c r="AT118" s="28"/>
      <c r="AU118" s="28"/>
      <c r="AV118" s="26"/>
      <c r="AW118" s="26"/>
      <c r="AX118" s="28"/>
      <c r="AY118" s="72">
        <f>Y118-AV118-AX118-AW118</f>
        <v>0</v>
      </c>
      <c r="AZ118" s="68"/>
      <c r="BA118" s="26">
        <f>AL118+AG118+AA118+AT118</f>
        <v>0</v>
      </c>
      <c r="BB118" s="30">
        <f>BD118+AO118+AG118</f>
        <v>0</v>
      </c>
      <c r="BC118" s="30">
        <f>BD118+AS118</f>
        <v>0</v>
      </c>
      <c r="BD118" s="30">
        <f>IF(BA118&gt;0,Y118-BA118,BA118)</f>
        <v>0</v>
      </c>
      <c r="BE118" s="31">
        <v>7</v>
      </c>
      <c r="BF118" s="30" t="s">
        <v>76</v>
      </c>
      <c r="BG118" s="31">
        <f>BE118*Q118</f>
        <v>0</v>
      </c>
      <c r="BH118" s="31">
        <f>BE118*R118*0.4</f>
        <v>0</v>
      </c>
      <c r="BI118" s="142">
        <f>BE118*T118</f>
        <v>0</v>
      </c>
      <c r="BJ118" s="142">
        <f>BE118*U118*0.4</f>
        <v>0</v>
      </c>
      <c r="BK118" s="32">
        <f>Y118*BE118</f>
        <v>0</v>
      </c>
      <c r="BL118" s="25">
        <v>156</v>
      </c>
      <c r="BM118" s="25">
        <v>156</v>
      </c>
      <c r="BN118" s="25">
        <v>156</v>
      </c>
      <c r="BO118" s="25">
        <v>156</v>
      </c>
      <c r="BP118" s="25">
        <f>BE118*AV118</f>
        <v>0</v>
      </c>
      <c r="BQ118" s="25">
        <f>BE118*AX118</f>
        <v>0</v>
      </c>
      <c r="BR118" s="28"/>
    </row>
    <row r="119" spans="1:70" s="6" customFormat="1" ht="41.25" customHeight="1">
      <c r="A119" s="18">
        <v>116</v>
      </c>
      <c r="B119" s="18" t="s">
        <v>191</v>
      </c>
      <c r="C119" s="18" t="s">
        <v>192</v>
      </c>
      <c r="D119" s="21" t="s">
        <v>50</v>
      </c>
      <c r="E119" s="22" t="s">
        <v>891</v>
      </c>
      <c r="F119" s="52" t="s">
        <v>123</v>
      </c>
      <c r="G119" s="21" t="s">
        <v>52</v>
      </c>
      <c r="H119" s="22">
        <v>120</v>
      </c>
      <c r="I119" s="22">
        <v>200</v>
      </c>
      <c r="J119" s="22"/>
      <c r="K119" s="22"/>
      <c r="L119" s="22" t="s">
        <v>52</v>
      </c>
      <c r="M119" s="23"/>
      <c r="N119" s="22" t="s">
        <v>904</v>
      </c>
      <c r="O119" s="23" t="s">
        <v>905</v>
      </c>
      <c r="P119" s="18" t="s">
        <v>56</v>
      </c>
      <c r="Q119" s="151"/>
      <c r="R119" s="151"/>
      <c r="S119" s="25">
        <v>260</v>
      </c>
      <c r="T119" s="26"/>
      <c r="U119" s="26"/>
      <c r="V119" s="25">
        <v>260</v>
      </c>
      <c r="W119" s="26"/>
      <c r="X119" s="25">
        <v>156</v>
      </c>
      <c r="Y119" s="26">
        <f>T119+R119+Q119+U119+W119</f>
        <v>0</v>
      </c>
      <c r="Z119" s="27">
        <v>1300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>
        <f>SUM(AM119:AS119)</f>
        <v>0</v>
      </c>
      <c r="AM119" s="26"/>
      <c r="AN119" s="26"/>
      <c r="AO119" s="26"/>
      <c r="AP119" s="26"/>
      <c r="AQ119" s="26"/>
      <c r="AR119" s="26"/>
      <c r="AS119" s="26"/>
      <c r="AT119" s="28"/>
      <c r="AU119" s="28"/>
      <c r="AV119" s="26"/>
      <c r="AW119" s="26"/>
      <c r="AX119" s="28"/>
      <c r="AY119" s="72">
        <f>Y119-AV119-AX119-AW119</f>
        <v>0</v>
      </c>
      <c r="AZ119" s="68"/>
      <c r="BA119" s="26">
        <f>AL119+AG119+AA119+AT119</f>
        <v>0</v>
      </c>
      <c r="BB119" s="30">
        <f>BD119+AO119+AG119</f>
        <v>0</v>
      </c>
      <c r="BC119" s="30">
        <f>BD119+AS119</f>
        <v>0</v>
      </c>
      <c r="BD119" s="30">
        <f>IF(BA119&gt;0,Y119-BA119,BA119)</f>
        <v>0</v>
      </c>
      <c r="BE119" s="31">
        <v>7</v>
      </c>
      <c r="BF119" s="30" t="s">
        <v>76</v>
      </c>
      <c r="BG119" s="31">
        <f>BE119*Q119</f>
        <v>0</v>
      </c>
      <c r="BH119" s="31">
        <f>BE119*R119*0.4</f>
        <v>0</v>
      </c>
      <c r="BI119" s="142">
        <f>BE119*T119</f>
        <v>0</v>
      </c>
      <c r="BJ119" s="142">
        <f>BE119*U119*0.4</f>
        <v>0</v>
      </c>
      <c r="BK119" s="32">
        <f>Y119*BE119</f>
        <v>0</v>
      </c>
      <c r="BL119" s="25">
        <v>156</v>
      </c>
      <c r="BM119" s="25">
        <v>156</v>
      </c>
      <c r="BN119" s="25">
        <v>156</v>
      </c>
      <c r="BO119" s="25">
        <v>156</v>
      </c>
      <c r="BP119" s="25">
        <f>BE119*AV119</f>
        <v>0</v>
      </c>
      <c r="BQ119" s="25">
        <f>BE119*AX119</f>
        <v>0</v>
      </c>
      <c r="BR119" s="28"/>
    </row>
    <row r="120" spans="1:70" s="6" customFormat="1" ht="41.25" customHeight="1">
      <c r="A120" s="18">
        <v>117</v>
      </c>
      <c r="B120" s="18" t="s">
        <v>58</v>
      </c>
      <c r="C120" s="18" t="s">
        <v>547</v>
      </c>
      <c r="D120" s="36" t="s">
        <v>68</v>
      </c>
      <c r="E120" s="22" t="s">
        <v>912</v>
      </c>
      <c r="F120" s="36" t="s">
        <v>70</v>
      </c>
      <c r="G120" s="36" t="s">
        <v>70</v>
      </c>
      <c r="H120" s="22"/>
      <c r="I120" s="37" t="s">
        <v>913</v>
      </c>
      <c r="J120" s="37"/>
      <c r="K120" s="37"/>
      <c r="L120" s="22"/>
      <c r="M120" s="23" t="s">
        <v>914</v>
      </c>
      <c r="N120" s="22" t="s">
        <v>915</v>
      </c>
      <c r="O120" s="23"/>
      <c r="P120" s="38" t="s">
        <v>56</v>
      </c>
      <c r="Q120" s="29">
        <v>20</v>
      </c>
      <c r="R120" s="72"/>
      <c r="S120" s="40">
        <v>20</v>
      </c>
      <c r="T120" s="26"/>
      <c r="U120" s="29">
        <v>12</v>
      </c>
      <c r="V120" s="25">
        <v>12</v>
      </c>
      <c r="W120" s="29">
        <v>3</v>
      </c>
      <c r="X120" s="25">
        <v>12</v>
      </c>
      <c r="Y120" s="29">
        <f>T120+R120+Q120+U120+W120</f>
        <v>35</v>
      </c>
      <c r="Z120" s="27">
        <v>100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>
        <f>SUM(AM120:AS120)</f>
        <v>0</v>
      </c>
      <c r="AM120" s="26"/>
      <c r="AN120" s="78"/>
      <c r="AO120" s="78"/>
      <c r="AP120" s="78"/>
      <c r="AQ120" s="78"/>
      <c r="AR120" s="78"/>
      <c r="AS120" s="78"/>
      <c r="AT120" s="43"/>
      <c r="AU120" s="43"/>
      <c r="AV120" s="26"/>
      <c r="AW120" s="26"/>
      <c r="AX120" s="43"/>
      <c r="AY120" s="29">
        <f>Y120-AV120-AX120-AW120</f>
        <v>35</v>
      </c>
      <c r="AZ120" s="29">
        <f>'Layout for trees right'!M20</f>
        <v>35</v>
      </c>
      <c r="BA120" s="26">
        <f>AL120+AG120+AA120+AT120</f>
        <v>0</v>
      </c>
      <c r="BB120" s="30">
        <f>BD120+AO120+AG120</f>
        <v>0</v>
      </c>
      <c r="BC120" s="30">
        <f>BD120+AS120</f>
        <v>0</v>
      </c>
      <c r="BD120" s="30">
        <f>IF(BA120&gt;0,Y120-BA120,BA120)</f>
        <v>0</v>
      </c>
      <c r="BE120" s="31">
        <v>235</v>
      </c>
      <c r="BF120" s="30" t="s">
        <v>76</v>
      </c>
      <c r="BG120" s="31">
        <f>BE120*Q120</f>
        <v>4700</v>
      </c>
      <c r="BH120" s="31">
        <f>BE120*R120*0.4</f>
        <v>0</v>
      </c>
      <c r="BI120" s="31">
        <f>BE120*T120</f>
        <v>0</v>
      </c>
      <c r="BJ120" s="31">
        <f>BE120*U120*0.4</f>
        <v>1128</v>
      </c>
      <c r="BK120" s="32">
        <f>Y120*BE120</f>
        <v>8225</v>
      </c>
      <c r="BL120" s="25">
        <v>12</v>
      </c>
      <c r="BM120" s="25">
        <v>12</v>
      </c>
      <c r="BN120" s="25">
        <v>12</v>
      </c>
      <c r="BO120" s="25">
        <v>20</v>
      </c>
      <c r="BP120" s="25">
        <f>BE120*AV120</f>
        <v>0</v>
      </c>
      <c r="BQ120" s="25">
        <f>BE120*AX120</f>
        <v>0</v>
      </c>
      <c r="BR120" s="43"/>
    </row>
    <row r="121" spans="1:70" s="6" customFormat="1" ht="41.25" customHeight="1">
      <c r="A121" s="18">
        <v>118</v>
      </c>
      <c r="B121" s="50" t="s">
        <v>66</v>
      </c>
      <c r="C121" s="44" t="s">
        <v>139</v>
      </c>
      <c r="D121" s="56" t="s">
        <v>50</v>
      </c>
      <c r="E121" s="22" t="s">
        <v>918</v>
      </c>
      <c r="F121" s="21" t="s">
        <v>52</v>
      </c>
      <c r="G121" s="21" t="s">
        <v>52</v>
      </c>
      <c r="H121" s="50">
        <v>120</v>
      </c>
      <c r="I121" s="50">
        <v>200</v>
      </c>
      <c r="J121" s="50"/>
      <c r="K121" s="50"/>
      <c r="L121" s="22" t="s">
        <v>52</v>
      </c>
      <c r="M121" s="23"/>
      <c r="N121" s="22" t="s">
        <v>919</v>
      </c>
      <c r="O121" s="23" t="s">
        <v>920</v>
      </c>
      <c r="P121" s="38" t="s">
        <v>56</v>
      </c>
      <c r="Q121" s="29">
        <v>920</v>
      </c>
      <c r="R121" s="72"/>
      <c r="S121" s="40">
        <v>920</v>
      </c>
      <c r="T121" s="26"/>
      <c r="U121" s="26"/>
      <c r="V121" s="25">
        <v>920</v>
      </c>
      <c r="W121" s="26"/>
      <c r="X121" s="25">
        <v>552</v>
      </c>
      <c r="Y121" s="29">
        <f>T121+R121+Q121+U121+W121</f>
        <v>920</v>
      </c>
      <c r="Z121" s="27">
        <v>4600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>
        <f>SUM(AM121:AS121)</f>
        <v>0</v>
      </c>
      <c r="AM121" s="26"/>
      <c r="AN121" s="26"/>
      <c r="AO121" s="26"/>
      <c r="AP121" s="26"/>
      <c r="AQ121" s="26"/>
      <c r="AR121" s="26"/>
      <c r="AS121" s="26"/>
      <c r="AT121" s="28"/>
      <c r="AU121" s="28"/>
      <c r="AV121" s="26"/>
      <c r="AW121" s="26"/>
      <c r="AX121" s="28"/>
      <c r="AY121" s="29">
        <f>Y121-AV121-AX121-AW121</f>
        <v>920</v>
      </c>
      <c r="AZ121" s="29"/>
      <c r="BA121" s="26">
        <f>AL121+AG121+AA121+AT121</f>
        <v>0</v>
      </c>
      <c r="BB121" s="30">
        <f>BD121+AO121+AG121</f>
        <v>0</v>
      </c>
      <c r="BC121" s="30">
        <f>BD121+AS121</f>
        <v>0</v>
      </c>
      <c r="BD121" s="30">
        <f>IF(BA121&gt;0,Y121-BA121,BA121)</f>
        <v>0</v>
      </c>
      <c r="BE121" s="31">
        <v>15</v>
      </c>
      <c r="BF121" s="30" t="s">
        <v>76</v>
      </c>
      <c r="BG121" s="31">
        <f>BE121*Q121</f>
        <v>13800</v>
      </c>
      <c r="BH121" s="31">
        <f>BE121*R121*0.4</f>
        <v>0</v>
      </c>
      <c r="BI121" s="142">
        <f>BE121*T121</f>
        <v>0</v>
      </c>
      <c r="BJ121" s="142">
        <f>BE121*U121*0.4</f>
        <v>0</v>
      </c>
      <c r="BK121" s="32">
        <f>Y121*BE121</f>
        <v>13800</v>
      </c>
      <c r="BL121" s="25">
        <v>552</v>
      </c>
      <c r="BM121" s="25">
        <v>552</v>
      </c>
      <c r="BN121" s="25">
        <v>552</v>
      </c>
      <c r="BO121" s="25">
        <v>552</v>
      </c>
      <c r="BP121" s="25">
        <f>BE121*AV121</f>
        <v>0</v>
      </c>
      <c r="BQ121" s="25">
        <f>BE121*AX121</f>
        <v>0</v>
      </c>
      <c r="BR121" s="28"/>
    </row>
    <row r="122" spans="1:70" s="6" customFormat="1" ht="41.25" customHeight="1">
      <c r="A122" s="18">
        <v>119</v>
      </c>
      <c r="B122" s="18" t="s">
        <v>48</v>
      </c>
      <c r="C122" s="18" t="s">
        <v>81</v>
      </c>
      <c r="D122" s="36" t="s">
        <v>68</v>
      </c>
      <c r="E122" s="22" t="s">
        <v>921</v>
      </c>
      <c r="F122" s="36" t="s">
        <v>70</v>
      </c>
      <c r="G122" s="36" t="s">
        <v>70</v>
      </c>
      <c r="H122" s="22"/>
      <c r="I122" s="37" t="s">
        <v>104</v>
      </c>
      <c r="J122" s="37"/>
      <c r="K122" s="37"/>
      <c r="L122" s="22" t="s">
        <v>119</v>
      </c>
      <c r="M122" s="23"/>
      <c r="N122" s="114" t="s">
        <v>922</v>
      </c>
      <c r="O122" s="23"/>
      <c r="P122" s="18" t="s">
        <v>56</v>
      </c>
      <c r="Q122" s="72"/>
      <c r="R122" s="72"/>
      <c r="S122" s="25">
        <v>140</v>
      </c>
      <c r="T122" s="26"/>
      <c r="U122" s="26"/>
      <c r="V122" s="25">
        <v>84</v>
      </c>
      <c r="W122" s="26"/>
      <c r="X122" s="25">
        <v>84</v>
      </c>
      <c r="Y122" s="26">
        <f>T122+R122+Q122+U122+W122</f>
        <v>0</v>
      </c>
      <c r="Z122" s="27">
        <v>700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41">
        <f>SUM(AM122:AS122)</f>
        <v>62</v>
      </c>
      <c r="AM122" s="26"/>
      <c r="AN122" s="42">
        <v>0</v>
      </c>
      <c r="AO122" s="42">
        <v>62</v>
      </c>
      <c r="AP122" s="42"/>
      <c r="AQ122" s="42"/>
      <c r="AR122" s="42"/>
      <c r="AS122" s="42"/>
      <c r="AT122" s="43"/>
      <c r="AU122" s="43"/>
      <c r="AV122" s="26"/>
      <c r="AW122" s="26"/>
      <c r="AX122" s="43"/>
      <c r="AY122" s="72">
        <f>Y122-AV122-AX122-AW122</f>
        <v>0</v>
      </c>
      <c r="AZ122" s="68"/>
      <c r="BA122" s="26">
        <f>AL122+AG122+AA122+AT122</f>
        <v>62</v>
      </c>
      <c r="BB122" s="30">
        <f>BD122+AO122+AG122</f>
        <v>0</v>
      </c>
      <c r="BC122" s="30">
        <f>BD122+AS122</f>
        <v>-62</v>
      </c>
      <c r="BD122" s="30">
        <f>IF(BA122&gt;0,Y122-BA122,BA122)</f>
        <v>-62</v>
      </c>
      <c r="BE122" s="31">
        <v>155</v>
      </c>
      <c r="BF122" s="30" t="s">
        <v>76</v>
      </c>
      <c r="BG122" s="31">
        <f>BE122*Q122</f>
        <v>0</v>
      </c>
      <c r="BH122" s="31">
        <f>BE122*R122*0.4</f>
        <v>0</v>
      </c>
      <c r="BI122" s="142">
        <f>BE122*T122</f>
        <v>0</v>
      </c>
      <c r="BJ122" s="142">
        <f>BE122*U122*0.4</f>
        <v>0</v>
      </c>
      <c r="BK122" s="32">
        <f>Y122*BE122</f>
        <v>0</v>
      </c>
      <c r="BL122" s="25">
        <v>84</v>
      </c>
      <c r="BM122" s="25">
        <v>84</v>
      </c>
      <c r="BN122" s="25">
        <v>84</v>
      </c>
      <c r="BO122" s="25">
        <v>140</v>
      </c>
      <c r="BP122" s="25">
        <f>BE122*AV122</f>
        <v>0</v>
      </c>
      <c r="BQ122" s="25">
        <f>BE122*AX122</f>
        <v>0</v>
      </c>
      <c r="BR122" s="43"/>
    </row>
    <row r="123" spans="1:70" s="6" customFormat="1" ht="41.25" customHeight="1">
      <c r="A123" s="18">
        <v>120</v>
      </c>
      <c r="B123" s="18" t="s">
        <v>66</v>
      </c>
      <c r="C123" s="66" t="s">
        <v>67</v>
      </c>
      <c r="D123" s="36" t="s">
        <v>68</v>
      </c>
      <c r="E123" s="22" t="s">
        <v>923</v>
      </c>
      <c r="F123" s="36" t="s">
        <v>70</v>
      </c>
      <c r="G123" s="36" t="s">
        <v>70</v>
      </c>
      <c r="H123" s="50"/>
      <c r="I123" s="37" t="s">
        <v>924</v>
      </c>
      <c r="J123" s="37"/>
      <c r="K123" s="37"/>
      <c r="L123" s="37"/>
      <c r="M123" s="23"/>
      <c r="N123" s="22" t="s">
        <v>925</v>
      </c>
      <c r="O123" s="23" t="s">
        <v>926</v>
      </c>
      <c r="P123" s="38" t="s">
        <v>56</v>
      </c>
      <c r="Q123" s="72"/>
      <c r="R123" s="29">
        <v>850</v>
      </c>
      <c r="S123" s="40">
        <v>850</v>
      </c>
      <c r="T123" s="26"/>
      <c r="U123" s="29">
        <v>510</v>
      </c>
      <c r="V123" s="25">
        <v>510</v>
      </c>
      <c r="W123" s="29">
        <v>39</v>
      </c>
      <c r="X123" s="25">
        <v>510</v>
      </c>
      <c r="Y123" s="29">
        <f>T123+R123+Q123+U123+W123</f>
        <v>1399</v>
      </c>
      <c r="Z123" s="27">
        <v>4250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41">
        <f>SUM(AM123:AS123)</f>
        <v>247</v>
      </c>
      <c r="AM123" s="41">
        <v>194</v>
      </c>
      <c r="AN123" s="42">
        <v>15</v>
      </c>
      <c r="AO123" s="42">
        <f>8+30</f>
        <v>38</v>
      </c>
      <c r="AP123" s="42"/>
      <c r="AQ123" s="42"/>
      <c r="AR123" s="42"/>
      <c r="AS123" s="42"/>
      <c r="AT123" s="43"/>
      <c r="AU123" s="43"/>
      <c r="AV123" s="41">
        <f>8+12+72+102</f>
        <v>194</v>
      </c>
      <c r="AW123" s="26"/>
      <c r="AX123" s="43"/>
      <c r="AY123" s="29">
        <f>Y123-AV123-AX123-AW123</f>
        <v>1205</v>
      </c>
      <c r="AZ123" s="29">
        <f>'Layout for trees left'!U13+'Layout for trees right'!M22</f>
        <v>1205</v>
      </c>
      <c r="BA123" s="26">
        <f>AL123+AG123+AA123+AT123</f>
        <v>247</v>
      </c>
      <c r="BB123" s="30">
        <f>BD123+AO123+AG123</f>
        <v>1190</v>
      </c>
      <c r="BC123" s="30">
        <f>BD123+AS123</f>
        <v>1152</v>
      </c>
      <c r="BD123" s="30">
        <f>IF(BA123&gt;0,Y123-BA123,BA123)</f>
        <v>1152</v>
      </c>
      <c r="BE123" s="31">
        <v>57</v>
      </c>
      <c r="BF123" s="30" t="s">
        <v>76</v>
      </c>
      <c r="BG123" s="31">
        <f>BE123*Q123</f>
        <v>0</v>
      </c>
      <c r="BH123" s="31">
        <f>BE123*R123*0.4</f>
        <v>19380</v>
      </c>
      <c r="BI123" s="142">
        <f>BE123*T123</f>
        <v>0</v>
      </c>
      <c r="BJ123" s="142">
        <f>BE123*U123*0.4</f>
        <v>11628</v>
      </c>
      <c r="BK123" s="32">
        <f>Y123*BE123</f>
        <v>79743</v>
      </c>
      <c r="BL123" s="25">
        <v>510</v>
      </c>
      <c r="BM123" s="25">
        <v>510</v>
      </c>
      <c r="BN123" s="25">
        <v>510</v>
      </c>
      <c r="BO123" s="25">
        <v>850</v>
      </c>
      <c r="BP123" s="25">
        <f>BE123*AV123</f>
        <v>11058</v>
      </c>
      <c r="BQ123" s="25">
        <f>BE123*AX123</f>
        <v>0</v>
      </c>
      <c r="BR123" s="43"/>
    </row>
    <row r="124" spans="1:70" s="6" customFormat="1" ht="41.25" customHeight="1">
      <c r="A124" s="18">
        <v>121</v>
      </c>
      <c r="B124" s="50" t="s">
        <v>66</v>
      </c>
      <c r="C124" s="44" t="s">
        <v>67</v>
      </c>
      <c r="D124" s="36" t="s">
        <v>68</v>
      </c>
      <c r="E124" s="50" t="s">
        <v>928</v>
      </c>
      <c r="F124" s="36" t="s">
        <v>70</v>
      </c>
      <c r="G124" s="36" t="s">
        <v>70</v>
      </c>
      <c r="H124" s="50"/>
      <c r="I124" s="37" t="s">
        <v>71</v>
      </c>
      <c r="J124" s="37"/>
      <c r="K124" s="37"/>
      <c r="L124" s="37"/>
      <c r="M124" s="23"/>
      <c r="N124" s="22" t="s">
        <v>929</v>
      </c>
      <c r="O124" s="23" t="s">
        <v>930</v>
      </c>
      <c r="P124" s="18" t="s">
        <v>56</v>
      </c>
      <c r="Q124" s="29">
        <v>430</v>
      </c>
      <c r="R124" s="144"/>
      <c r="S124" s="25">
        <v>430</v>
      </c>
      <c r="T124" s="29">
        <v>258</v>
      </c>
      <c r="U124" s="26"/>
      <c r="V124" s="25">
        <v>258</v>
      </c>
      <c r="W124" s="29">
        <v>398</v>
      </c>
      <c r="X124" s="25">
        <v>258</v>
      </c>
      <c r="Y124" s="29">
        <f>T124+R124+Q124+U124+W124</f>
        <v>1086</v>
      </c>
      <c r="Z124" s="27">
        <v>2150</v>
      </c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41">
        <f>SUM(AM124:AS124)</f>
        <v>12</v>
      </c>
      <c r="AM124" s="41"/>
      <c r="AN124" s="42">
        <v>0</v>
      </c>
      <c r="AO124" s="42">
        <v>12</v>
      </c>
      <c r="AP124" s="42"/>
      <c r="AQ124" s="42"/>
      <c r="AR124" s="42"/>
      <c r="AS124" s="42"/>
      <c r="AT124" s="43"/>
      <c r="AU124" s="43"/>
      <c r="AV124" s="26"/>
      <c r="AW124" s="26"/>
      <c r="AX124" s="43"/>
      <c r="AY124" s="29">
        <f>Y124-AV124-AX124-AW124</f>
        <v>1086</v>
      </c>
      <c r="AZ124" s="29">
        <f>'Layout for trees left'!U14</f>
        <v>1086</v>
      </c>
      <c r="BA124" s="26">
        <f>AL124+AG124+AA124+AT124</f>
        <v>12</v>
      </c>
      <c r="BB124" s="30">
        <f>BD124+AO124+AG124</f>
        <v>1086</v>
      </c>
      <c r="BC124" s="30">
        <f>BD124+AS124</f>
        <v>1074</v>
      </c>
      <c r="BD124" s="30">
        <f>IF(BA124&gt;0,Y124-BA124,BA124)</f>
        <v>1074</v>
      </c>
      <c r="BE124" s="31">
        <v>24</v>
      </c>
      <c r="BF124" s="30" t="s">
        <v>76</v>
      </c>
      <c r="BG124" s="31">
        <f>BE124*Q124</f>
        <v>10320</v>
      </c>
      <c r="BH124" s="31">
        <f>BE124*R124*0.4</f>
        <v>0</v>
      </c>
      <c r="BI124" s="142">
        <f>BE124*T124</f>
        <v>6192</v>
      </c>
      <c r="BJ124" s="142">
        <f>BE124*U124*0.4</f>
        <v>0</v>
      </c>
      <c r="BK124" s="32">
        <f>Y124*BE124</f>
        <v>26064</v>
      </c>
      <c r="BL124" s="25">
        <v>258</v>
      </c>
      <c r="BM124" s="25">
        <v>258</v>
      </c>
      <c r="BN124" s="25">
        <v>258</v>
      </c>
      <c r="BO124" s="25">
        <v>430</v>
      </c>
      <c r="BP124" s="25">
        <f>BE124*AV124</f>
        <v>0</v>
      </c>
      <c r="BQ124" s="25">
        <f>BE124*AX124</f>
        <v>0</v>
      </c>
      <c r="BR124" s="43"/>
    </row>
    <row r="125" spans="1:70" s="6" customFormat="1" ht="41.25" customHeight="1">
      <c r="A125" s="18">
        <v>122</v>
      </c>
      <c r="B125" s="18" t="s">
        <v>191</v>
      </c>
      <c r="C125" s="18" t="s">
        <v>192</v>
      </c>
      <c r="D125" s="21" t="s">
        <v>50</v>
      </c>
      <c r="E125" s="22" t="s">
        <v>932</v>
      </c>
      <c r="F125" s="52" t="s">
        <v>123</v>
      </c>
      <c r="G125" s="52" t="s">
        <v>123</v>
      </c>
      <c r="H125" s="22">
        <v>300</v>
      </c>
      <c r="I125" s="22">
        <v>500</v>
      </c>
      <c r="J125" s="22">
        <v>140</v>
      </c>
      <c r="K125" s="22" t="s">
        <v>165</v>
      </c>
      <c r="L125" s="22"/>
      <c r="M125" s="23"/>
      <c r="N125" s="22" t="s">
        <v>933</v>
      </c>
      <c r="O125" s="23"/>
      <c r="P125" s="38" t="s">
        <v>56</v>
      </c>
      <c r="Q125" s="88">
        <f>960-64</f>
        <v>896</v>
      </c>
      <c r="R125" s="144"/>
      <c r="S125" s="40">
        <v>960</v>
      </c>
      <c r="T125" s="26"/>
      <c r="U125" s="26"/>
      <c r="V125" s="25">
        <v>960</v>
      </c>
      <c r="W125" s="26"/>
      <c r="X125" s="25">
        <v>576</v>
      </c>
      <c r="Y125" s="29">
        <f>T125+R125+Q125+U125+W125</f>
        <v>896</v>
      </c>
      <c r="Z125" s="27">
        <v>4800</v>
      </c>
      <c r="AA125" s="26"/>
      <c r="AB125" s="26"/>
      <c r="AC125" s="26"/>
      <c r="AD125" s="26"/>
      <c r="AE125" s="26"/>
      <c r="AF125" s="26"/>
      <c r="AG125" s="57">
        <f>SUBTOTAL(9,AH125:AK125)</f>
        <v>212</v>
      </c>
      <c r="AH125" s="26"/>
      <c r="AI125" s="57">
        <v>212</v>
      </c>
      <c r="AJ125" s="26"/>
      <c r="AK125" s="26"/>
      <c r="AL125" s="26">
        <f>SUM(AM125:AS125)</f>
        <v>0</v>
      </c>
      <c r="AM125" s="26"/>
      <c r="AN125" s="26"/>
      <c r="AO125" s="26"/>
      <c r="AP125" s="26"/>
      <c r="AQ125" s="26"/>
      <c r="AR125" s="26"/>
      <c r="AS125" s="26"/>
      <c r="AT125" s="28"/>
      <c r="AU125" s="28"/>
      <c r="AV125" s="26"/>
      <c r="AW125" s="26"/>
      <c r="AX125" s="28"/>
      <c r="AY125" s="29">
        <f>Y125-AV125-AX125-AW125</f>
        <v>896</v>
      </c>
      <c r="AZ125" s="29">
        <f>'Layout for shadhous 3'!Q54</f>
        <v>896</v>
      </c>
      <c r="BA125" s="26">
        <f>AL125+AG125+AA125+AT125</f>
        <v>212</v>
      </c>
      <c r="BB125" s="30">
        <f>BD125+AO125+AG125</f>
        <v>896</v>
      </c>
      <c r="BC125" s="30">
        <f>BD125+AS125</f>
        <v>684</v>
      </c>
      <c r="BD125" s="30">
        <f>IF(BA125&gt;0,Y125-BA125,BA125)</f>
        <v>684</v>
      </c>
      <c r="BE125" s="31">
        <v>11</v>
      </c>
      <c r="BF125" s="30" t="s">
        <v>76</v>
      </c>
      <c r="BG125" s="31">
        <f>BE125*Q125</f>
        <v>9856</v>
      </c>
      <c r="BH125" s="31">
        <f>BE125*R125*0.4</f>
        <v>0</v>
      </c>
      <c r="BI125" s="31">
        <f>BE125*T125</f>
        <v>0</v>
      </c>
      <c r="BJ125" s="31">
        <f>BE125*U125*0.4</f>
        <v>0</v>
      </c>
      <c r="BK125" s="32">
        <f>Y125*BE125</f>
        <v>9856</v>
      </c>
      <c r="BL125" s="25">
        <v>576</v>
      </c>
      <c r="BM125" s="25">
        <v>576</v>
      </c>
      <c r="BN125" s="25">
        <v>576</v>
      </c>
      <c r="BO125" s="25">
        <v>576</v>
      </c>
      <c r="BP125" s="25">
        <f>BE125*AV125</f>
        <v>0</v>
      </c>
      <c r="BQ125" s="25">
        <f>BE125*AX125</f>
        <v>0</v>
      </c>
      <c r="BR125" s="28"/>
    </row>
    <row r="126" spans="1:70" s="6" customFormat="1" ht="41.25" customHeight="1">
      <c r="A126" s="18">
        <v>123</v>
      </c>
      <c r="B126" s="18" t="s">
        <v>66</v>
      </c>
      <c r="C126" s="54" t="s">
        <v>225</v>
      </c>
      <c r="D126" s="56" t="s">
        <v>50</v>
      </c>
      <c r="E126" s="22" t="s">
        <v>942</v>
      </c>
      <c r="F126" s="52" t="s">
        <v>123</v>
      </c>
      <c r="G126" s="52" t="s">
        <v>123</v>
      </c>
      <c r="H126" s="22"/>
      <c r="I126" s="22"/>
      <c r="J126" s="22"/>
      <c r="K126" s="22"/>
      <c r="L126" s="22"/>
      <c r="M126" s="23"/>
      <c r="N126" s="76" t="s">
        <v>943</v>
      </c>
      <c r="O126" s="23" t="s">
        <v>944</v>
      </c>
      <c r="P126" s="18" t="s">
        <v>56</v>
      </c>
      <c r="Q126" s="29">
        <v>23060</v>
      </c>
      <c r="R126" s="144"/>
      <c r="S126" s="25">
        <v>23060</v>
      </c>
      <c r="T126" s="29">
        <f>1457+8400</f>
        <v>9857</v>
      </c>
      <c r="U126" s="81"/>
      <c r="V126" s="25">
        <v>23060</v>
      </c>
      <c r="W126" s="26"/>
      <c r="X126" s="25">
        <v>13836</v>
      </c>
      <c r="Y126" s="29">
        <f>T126+R126+Q126+U126+W126</f>
        <v>32917</v>
      </c>
      <c r="Z126" s="27">
        <v>115300</v>
      </c>
      <c r="AA126" s="64">
        <f>SUBTOTAL(9,AB126:AF126)</f>
        <v>354</v>
      </c>
      <c r="AB126" s="26"/>
      <c r="AC126" s="64">
        <v>16</v>
      </c>
      <c r="AD126" s="64">
        <v>115</v>
      </c>
      <c r="AE126" s="64">
        <v>84</v>
      </c>
      <c r="AF126" s="64">
        <v>139</v>
      </c>
      <c r="AG126" s="57">
        <v>332</v>
      </c>
      <c r="AH126" s="57">
        <v>3</v>
      </c>
      <c r="AI126" s="57">
        <v>17</v>
      </c>
      <c r="AJ126" s="57">
        <v>95</v>
      </c>
      <c r="AK126" s="57">
        <v>217</v>
      </c>
      <c r="AL126" s="41">
        <f>SUM(AM126:AS126)</f>
        <v>42326</v>
      </c>
      <c r="AM126" s="41">
        <f>22729+9924</f>
        <v>32653</v>
      </c>
      <c r="AN126" s="49">
        <v>4429</v>
      </c>
      <c r="AO126" s="49">
        <v>5244</v>
      </c>
      <c r="AP126" s="49"/>
      <c r="AQ126" s="49"/>
      <c r="AR126" s="49"/>
      <c r="AS126" s="49"/>
      <c r="AT126" s="77">
        <f>1133+78+781</f>
        <v>1992</v>
      </c>
      <c r="AU126" s="77">
        <v>781</v>
      </c>
      <c r="AV126" s="41">
        <f>5757+3747+1500+654+2400+400+2200+2550+3000+321+200</f>
        <v>22729</v>
      </c>
      <c r="AW126" s="26"/>
      <c r="AX126" s="77">
        <f>711+500+28+149</f>
        <v>1388</v>
      </c>
      <c r="AY126" s="29">
        <f>Y126-AV126-AX126-AW126</f>
        <v>8800</v>
      </c>
      <c r="AZ126" s="29">
        <f ca="1">'Layout for shadhous 1&amp;2'!I64</f>
        <v>8800</v>
      </c>
      <c r="BA126" s="26">
        <f>AL126+AG126+AA126+AT126</f>
        <v>45004</v>
      </c>
      <c r="BB126" s="30">
        <f>BD126+AO126+AG126</f>
        <v>-6511</v>
      </c>
      <c r="BC126" s="30">
        <f>BD126+AS126</f>
        <v>-12087</v>
      </c>
      <c r="BD126" s="30">
        <f>IF(BA126&gt;0,Y126-BA126,BA126)</f>
        <v>-12087</v>
      </c>
      <c r="BE126" s="31">
        <v>15</v>
      </c>
      <c r="BF126" s="30" t="s">
        <v>76</v>
      </c>
      <c r="BG126" s="31">
        <f>BE126*Q126</f>
        <v>345900</v>
      </c>
      <c r="BH126" s="31">
        <f>BE126*R126*0.4</f>
        <v>0</v>
      </c>
      <c r="BI126" s="31">
        <f>BE126*T126</f>
        <v>147855</v>
      </c>
      <c r="BJ126" s="31">
        <f>BE126*U126*0.4</f>
        <v>0</v>
      </c>
      <c r="BK126" s="32">
        <f>Y126*BE126</f>
        <v>493755</v>
      </c>
      <c r="BL126" s="25">
        <v>13836</v>
      </c>
      <c r="BM126" s="25">
        <v>13836</v>
      </c>
      <c r="BN126" s="25">
        <v>13836</v>
      </c>
      <c r="BO126" s="25">
        <v>13836</v>
      </c>
      <c r="BP126" s="25">
        <f>BE126*AV126</f>
        <v>340935</v>
      </c>
      <c r="BQ126" s="25">
        <f>BE126*AX126</f>
        <v>20820</v>
      </c>
      <c r="BR126" s="26"/>
    </row>
    <row r="127" spans="1:70" s="6" customFormat="1" ht="41.25" customHeight="1">
      <c r="A127" s="18">
        <v>124</v>
      </c>
      <c r="B127" s="18" t="s">
        <v>58</v>
      </c>
      <c r="C127" s="18" t="s">
        <v>547</v>
      </c>
      <c r="D127" s="36" t="s">
        <v>68</v>
      </c>
      <c r="E127" s="22" t="s">
        <v>945</v>
      </c>
      <c r="F127" s="36" t="s">
        <v>70</v>
      </c>
      <c r="G127" s="36" t="s">
        <v>70</v>
      </c>
      <c r="H127" s="22"/>
      <c r="I127" s="37" t="s">
        <v>946</v>
      </c>
      <c r="J127" s="37"/>
      <c r="K127" s="37"/>
      <c r="L127" s="22"/>
      <c r="M127" s="23" t="s">
        <v>947</v>
      </c>
      <c r="N127" s="22" t="s">
        <v>948</v>
      </c>
      <c r="O127" s="23" t="s">
        <v>949</v>
      </c>
      <c r="P127" s="38" t="s">
        <v>56</v>
      </c>
      <c r="Q127" s="29">
        <v>10</v>
      </c>
      <c r="R127" s="72"/>
      <c r="S127" s="40">
        <v>10</v>
      </c>
      <c r="T127" s="29">
        <v>2</v>
      </c>
      <c r="U127" s="26"/>
      <c r="V127" s="25">
        <v>6</v>
      </c>
      <c r="W127" s="26"/>
      <c r="X127" s="25">
        <v>6</v>
      </c>
      <c r="Y127" s="29">
        <f>T127+R127+Q127+U127+W127</f>
        <v>12</v>
      </c>
      <c r="Z127" s="27">
        <v>50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>
        <f>SUM(AM127:AS127)</f>
        <v>0</v>
      </c>
      <c r="AM127" s="26"/>
      <c r="AN127" s="26"/>
      <c r="AO127" s="26"/>
      <c r="AP127" s="26"/>
      <c r="AQ127" s="26"/>
      <c r="AR127" s="26"/>
      <c r="AS127" s="26"/>
      <c r="AT127" s="28"/>
      <c r="AU127" s="28"/>
      <c r="AV127" s="26"/>
      <c r="AW127" s="26"/>
      <c r="AX127" s="28"/>
      <c r="AY127" s="29">
        <f>Y127-AV127-AX127-AW127</f>
        <v>12</v>
      </c>
      <c r="AZ127" s="29">
        <f>'Layout for trees right'!M21</f>
        <v>12</v>
      </c>
      <c r="BA127" s="26">
        <f>AL127+AG127+AA127+AT127</f>
        <v>0</v>
      </c>
      <c r="BB127" s="30">
        <f>BD127+AO127+AG127</f>
        <v>0</v>
      </c>
      <c r="BC127" s="30">
        <f>BD127+AS127</f>
        <v>0</v>
      </c>
      <c r="BD127" s="30">
        <f>IF(BA127&gt;0,Y127-BA127,BA127)</f>
        <v>0</v>
      </c>
      <c r="BE127" s="31">
        <v>235</v>
      </c>
      <c r="BF127" s="30" t="s">
        <v>76</v>
      </c>
      <c r="BG127" s="31">
        <f>BE127*Q127</f>
        <v>2350</v>
      </c>
      <c r="BH127" s="31">
        <f>BE127*R127*0.4</f>
        <v>0</v>
      </c>
      <c r="BI127" s="142">
        <f>BE127*T127</f>
        <v>470</v>
      </c>
      <c r="BJ127" s="142">
        <f>BE127*U127*0.4</f>
        <v>0</v>
      </c>
      <c r="BK127" s="32">
        <f>Y127*BE127</f>
        <v>2820</v>
      </c>
      <c r="BL127" s="25">
        <v>6</v>
      </c>
      <c r="BM127" s="25">
        <v>6</v>
      </c>
      <c r="BN127" s="25">
        <v>6</v>
      </c>
      <c r="BO127" s="25">
        <v>10</v>
      </c>
      <c r="BP127" s="25">
        <f>BE127*AV127</f>
        <v>0</v>
      </c>
      <c r="BQ127" s="25">
        <f>BE127*AX127</f>
        <v>0</v>
      </c>
      <c r="BR127" s="28"/>
    </row>
    <row r="128" spans="1:70" s="6" customFormat="1" ht="41.25" customHeight="1">
      <c r="A128" s="18">
        <v>125</v>
      </c>
      <c r="B128" s="50" t="s">
        <v>66</v>
      </c>
      <c r="C128" s="44" t="s">
        <v>139</v>
      </c>
      <c r="D128" s="56" t="s">
        <v>50</v>
      </c>
      <c r="E128" s="50" t="s">
        <v>918</v>
      </c>
      <c r="F128" s="52" t="s">
        <v>123</v>
      </c>
      <c r="G128" s="52" t="s">
        <v>123</v>
      </c>
      <c r="H128" s="50">
        <v>200</v>
      </c>
      <c r="I128" s="50">
        <v>300</v>
      </c>
      <c r="J128" s="50"/>
      <c r="K128" s="50"/>
      <c r="L128" s="22" t="s">
        <v>119</v>
      </c>
      <c r="M128" s="23"/>
      <c r="N128" s="22" t="s">
        <v>963</v>
      </c>
      <c r="O128" s="23"/>
      <c r="P128" s="18" t="s">
        <v>56</v>
      </c>
      <c r="Q128" s="72"/>
      <c r="R128" s="72"/>
      <c r="S128" s="25">
        <v>920</v>
      </c>
      <c r="T128" s="26"/>
      <c r="U128" s="26"/>
      <c r="V128" s="25">
        <v>920</v>
      </c>
      <c r="W128" s="26"/>
      <c r="X128" s="25">
        <v>552</v>
      </c>
      <c r="Y128" s="26">
        <f>T128+R128+Q128+U128+W128</f>
        <v>0</v>
      </c>
      <c r="Z128" s="27">
        <v>4600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>
        <f>SUM(AM128:AS128)</f>
        <v>0</v>
      </c>
      <c r="AM128" s="26"/>
      <c r="AN128" s="78"/>
      <c r="AO128" s="78"/>
      <c r="AP128" s="78"/>
      <c r="AQ128" s="78"/>
      <c r="AR128" s="78"/>
      <c r="AS128" s="78"/>
      <c r="AT128" s="43"/>
      <c r="AU128" s="43"/>
      <c r="AV128" s="26"/>
      <c r="AW128" s="26"/>
      <c r="AX128" s="43"/>
      <c r="AY128" s="72">
        <f>Y128-AV128-AX128-AW128</f>
        <v>0</v>
      </c>
      <c r="AZ128" s="68"/>
      <c r="BA128" s="26">
        <f>AL128+AG128+AA128+AT128</f>
        <v>0</v>
      </c>
      <c r="BB128" s="30">
        <f>BD128+AO128+AG128</f>
        <v>0</v>
      </c>
      <c r="BC128" s="30">
        <f>BD128+AS128</f>
        <v>0</v>
      </c>
      <c r="BD128" s="30">
        <f>IF(BA128&gt;0,Y128-BA128,BA128)</f>
        <v>0</v>
      </c>
      <c r="BE128" s="31">
        <v>22</v>
      </c>
      <c r="BF128" s="30" t="s">
        <v>76</v>
      </c>
      <c r="BG128" s="31">
        <f>BE128*Q128</f>
        <v>0</v>
      </c>
      <c r="BH128" s="31">
        <f>BE128*R128*0.4</f>
        <v>0</v>
      </c>
      <c r="BI128" s="142">
        <f>BE128*T128</f>
        <v>0</v>
      </c>
      <c r="BJ128" s="142">
        <f>BE128*U128*0.4</f>
        <v>0</v>
      </c>
      <c r="BK128" s="32">
        <f>Y128*BE128</f>
        <v>0</v>
      </c>
      <c r="BL128" s="25">
        <v>552</v>
      </c>
      <c r="BM128" s="25">
        <v>552</v>
      </c>
      <c r="BN128" s="25">
        <v>552</v>
      </c>
      <c r="BO128" s="25">
        <v>552</v>
      </c>
      <c r="BP128" s="25">
        <f>BE128*AV128</f>
        <v>0</v>
      </c>
      <c r="BQ128" s="25">
        <f>BE128*AX128</f>
        <v>0</v>
      </c>
      <c r="BR128" s="43"/>
    </row>
    <row r="129" spans="1:70" s="6" customFormat="1" ht="41.25" customHeight="1">
      <c r="A129" s="18">
        <v>126</v>
      </c>
      <c r="B129" s="18" t="s">
        <v>66</v>
      </c>
      <c r="C129" s="18" t="s">
        <v>139</v>
      </c>
      <c r="D129" s="56" t="s">
        <v>50</v>
      </c>
      <c r="E129" s="22" t="s">
        <v>966</v>
      </c>
      <c r="F129" s="52" t="s">
        <v>123</v>
      </c>
      <c r="G129" s="52" t="s">
        <v>123</v>
      </c>
      <c r="H129" s="22">
        <v>300</v>
      </c>
      <c r="I129" s="22">
        <v>750</v>
      </c>
      <c r="J129" s="22"/>
      <c r="K129" s="22"/>
      <c r="L129" s="22"/>
      <c r="M129" s="23"/>
      <c r="N129" s="22" t="s">
        <v>967</v>
      </c>
      <c r="O129" s="23" t="s">
        <v>968</v>
      </c>
      <c r="P129" s="38" t="s">
        <v>56</v>
      </c>
      <c r="Q129" s="29">
        <v>210</v>
      </c>
      <c r="R129" s="29">
        <v>240</v>
      </c>
      <c r="S129" s="40">
        <v>460</v>
      </c>
      <c r="T129" s="26"/>
      <c r="U129" s="26"/>
      <c r="V129" s="25">
        <v>460</v>
      </c>
      <c r="W129" s="26"/>
      <c r="X129" s="25">
        <v>276</v>
      </c>
      <c r="Y129" s="29">
        <f>T129+R129+Q129+U129+W129</f>
        <v>450</v>
      </c>
      <c r="Z129" s="27">
        <v>2300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>
        <f>SUM(AM129:AS129)</f>
        <v>0</v>
      </c>
      <c r="AM129" s="41"/>
      <c r="AN129" s="49">
        <v>0</v>
      </c>
      <c r="AO129" s="49"/>
      <c r="AP129" s="49"/>
      <c r="AQ129" s="49"/>
      <c r="AR129" s="49"/>
      <c r="AS129" s="49"/>
      <c r="AT129" s="43"/>
      <c r="AU129" s="43"/>
      <c r="AV129" s="26"/>
      <c r="AW129" s="26"/>
      <c r="AX129" s="43"/>
      <c r="AY129" s="29">
        <f>Y129-AV129-AX129-AW129</f>
        <v>450</v>
      </c>
      <c r="AZ129" s="29"/>
      <c r="BA129" s="26">
        <f>AL129+AG129+AA129+AT129</f>
        <v>0</v>
      </c>
      <c r="BB129" s="30">
        <f>BD129+AO129+AG129</f>
        <v>0</v>
      </c>
      <c r="BC129" s="30">
        <f>BD129+AS129</f>
        <v>0</v>
      </c>
      <c r="BD129" s="30">
        <f>IF(BA129&gt;0,Y129-BA129,BA129)</f>
        <v>0</v>
      </c>
      <c r="BE129" s="31">
        <v>23</v>
      </c>
      <c r="BF129" s="30" t="s">
        <v>76</v>
      </c>
      <c r="BG129" s="31">
        <f>BE129*Q129</f>
        <v>4830</v>
      </c>
      <c r="BH129" s="31">
        <f>BE129*R129*0.4</f>
        <v>2208</v>
      </c>
      <c r="BI129" s="31">
        <f>BE129*T129</f>
        <v>0</v>
      </c>
      <c r="BJ129" s="31">
        <f>BE129*U129*0.4</f>
        <v>0</v>
      </c>
      <c r="BK129" s="32">
        <f>Y129*BE129</f>
        <v>10350</v>
      </c>
      <c r="BL129" s="25">
        <v>276</v>
      </c>
      <c r="BM129" s="25">
        <v>276</v>
      </c>
      <c r="BN129" s="25">
        <v>276</v>
      </c>
      <c r="BO129" s="25">
        <v>276</v>
      </c>
      <c r="BP129" s="25">
        <f>BE129*AV129</f>
        <v>0</v>
      </c>
      <c r="BQ129" s="25">
        <f>BE129*AX129</f>
        <v>0</v>
      </c>
      <c r="BR129" s="43"/>
    </row>
    <row r="130" spans="1:70" s="6" customFormat="1" ht="41.25" customHeight="1">
      <c r="A130" s="18">
        <v>127</v>
      </c>
      <c r="B130" s="18" t="s">
        <v>191</v>
      </c>
      <c r="C130" s="18" t="s">
        <v>192</v>
      </c>
      <c r="D130" s="21" t="s">
        <v>50</v>
      </c>
      <c r="E130" s="22" t="s">
        <v>932</v>
      </c>
      <c r="F130" s="52" t="s">
        <v>123</v>
      </c>
      <c r="G130" s="52" t="s">
        <v>123</v>
      </c>
      <c r="H130" s="22">
        <v>200</v>
      </c>
      <c r="I130" s="22">
        <v>300</v>
      </c>
      <c r="J130" s="22">
        <v>320</v>
      </c>
      <c r="K130" s="22" t="s">
        <v>790</v>
      </c>
      <c r="L130" s="22"/>
      <c r="M130" s="23"/>
      <c r="N130" s="22" t="s">
        <v>1072</v>
      </c>
      <c r="O130" s="23"/>
      <c r="P130" s="38" t="s">
        <v>56</v>
      </c>
      <c r="Q130" s="29">
        <f>260-86</f>
        <v>174</v>
      </c>
      <c r="R130" s="72"/>
      <c r="S130" s="40">
        <v>260</v>
      </c>
      <c r="T130" s="26"/>
      <c r="U130" s="26"/>
      <c r="V130" s="25">
        <v>260</v>
      </c>
      <c r="W130" s="26"/>
      <c r="X130" s="25">
        <v>156</v>
      </c>
      <c r="Y130" s="29">
        <f>T130+R130+Q130+U130+W130</f>
        <v>174</v>
      </c>
      <c r="Z130" s="27">
        <v>1300</v>
      </c>
      <c r="AA130" s="26"/>
      <c r="AB130" s="26"/>
      <c r="AC130" s="26"/>
      <c r="AD130" s="26"/>
      <c r="AE130" s="26"/>
      <c r="AF130" s="26"/>
      <c r="AG130" s="57">
        <f>SUBTOTAL(9,AH130:AK130)</f>
        <v>355</v>
      </c>
      <c r="AH130" s="26"/>
      <c r="AI130" s="57">
        <v>355</v>
      </c>
      <c r="AJ130" s="26"/>
      <c r="AK130" s="26"/>
      <c r="AL130" s="26">
        <f>SUM(AM130:AS130)</f>
        <v>0</v>
      </c>
      <c r="AM130" s="26"/>
      <c r="AN130" s="26"/>
      <c r="AO130" s="26"/>
      <c r="AP130" s="26"/>
      <c r="AQ130" s="26"/>
      <c r="AR130" s="26"/>
      <c r="AS130" s="26"/>
      <c r="AT130" s="28"/>
      <c r="AU130" s="28"/>
      <c r="AV130" s="26"/>
      <c r="AW130" s="26"/>
      <c r="AX130" s="28"/>
      <c r="AY130" s="29">
        <f>Y130-AV130-AX130-AW130</f>
        <v>174</v>
      </c>
      <c r="AZ130" s="29">
        <f>'Layout for shadhous 3'!Q57</f>
        <v>174</v>
      </c>
      <c r="BA130" s="26">
        <f>AL130+AG130+AA130+AT130</f>
        <v>355</v>
      </c>
      <c r="BB130" s="30">
        <f>BD130+AO130+AG130</f>
        <v>174</v>
      </c>
      <c r="BC130" s="30">
        <f>BD130+AS130</f>
        <v>-181</v>
      </c>
      <c r="BD130" s="30">
        <f>IF(BA130&gt;0,Y130-BA130,BA130)</f>
        <v>-181</v>
      </c>
      <c r="BE130" s="31">
        <v>11</v>
      </c>
      <c r="BF130" s="30" t="s">
        <v>76</v>
      </c>
      <c r="BG130" s="31">
        <f>BE130*Q130</f>
        <v>1914</v>
      </c>
      <c r="BH130" s="31">
        <f>BE130*R130*0.4</f>
        <v>0</v>
      </c>
      <c r="BI130" s="31">
        <f>BE130*T130</f>
        <v>0</v>
      </c>
      <c r="BJ130" s="31">
        <f>BE130*U130*0.4</f>
        <v>0</v>
      </c>
      <c r="BK130" s="32">
        <f>Y130*BE130</f>
        <v>1914</v>
      </c>
      <c r="BL130" s="25">
        <v>156</v>
      </c>
      <c r="BM130" s="25">
        <v>156</v>
      </c>
      <c r="BN130" s="25">
        <v>156</v>
      </c>
      <c r="BO130" s="25">
        <v>156</v>
      </c>
      <c r="BP130" s="25">
        <f>BE130*AV130</f>
        <v>0</v>
      </c>
      <c r="BQ130" s="25">
        <f>BE130*AX130</f>
        <v>0</v>
      </c>
      <c r="BR130" s="28"/>
    </row>
    <row r="131" spans="1:70" s="6" customFormat="1" ht="41.25" customHeight="1">
      <c r="A131" s="18">
        <v>128</v>
      </c>
      <c r="B131" s="18" t="s">
        <v>58</v>
      </c>
      <c r="C131" s="18" t="s">
        <v>259</v>
      </c>
      <c r="D131" s="21" t="s">
        <v>50</v>
      </c>
      <c r="E131" s="22" t="s">
        <v>1074</v>
      </c>
      <c r="F131" s="52" t="s">
        <v>123</v>
      </c>
      <c r="G131" s="52" t="s">
        <v>123</v>
      </c>
      <c r="H131" s="22"/>
      <c r="I131" s="22"/>
      <c r="J131" s="22"/>
      <c r="K131" s="22"/>
      <c r="L131" s="22"/>
      <c r="M131" s="23"/>
      <c r="N131" s="22" t="s">
        <v>1075</v>
      </c>
      <c r="O131" s="23"/>
      <c r="P131" s="18" t="s">
        <v>56</v>
      </c>
      <c r="Q131" s="29">
        <v>600</v>
      </c>
      <c r="R131" s="72"/>
      <c r="S131" s="25">
        <v>1200</v>
      </c>
      <c r="T131" s="26"/>
      <c r="U131" s="26"/>
      <c r="V131" s="25">
        <v>1200</v>
      </c>
      <c r="W131" s="26"/>
      <c r="X131" s="25">
        <v>720</v>
      </c>
      <c r="Y131" s="29">
        <f>T131+R131+Q131+U131+W131</f>
        <v>600</v>
      </c>
      <c r="Z131" s="27">
        <v>6000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41">
        <f>SUM(AM131:AS131)</f>
        <v>54</v>
      </c>
      <c r="AM131" s="26"/>
      <c r="AN131" s="49">
        <v>0</v>
      </c>
      <c r="AO131" s="49">
        <v>54</v>
      </c>
      <c r="AP131" s="49"/>
      <c r="AQ131" s="49"/>
      <c r="AR131" s="49"/>
      <c r="AS131" s="49"/>
      <c r="AT131" s="43"/>
      <c r="AU131" s="43"/>
      <c r="AV131" s="26"/>
      <c r="AW131" s="26"/>
      <c r="AX131" s="43"/>
      <c r="AY131" s="29">
        <f>Y131-AV131-AX131-AW131</f>
        <v>600</v>
      </c>
      <c r="AZ131" s="29"/>
      <c r="BA131" s="26">
        <f>AL131+AG131+AA131+AT131</f>
        <v>54</v>
      </c>
      <c r="BB131" s="30">
        <f>BD131+AO131+AG131</f>
        <v>600</v>
      </c>
      <c r="BC131" s="30">
        <f>BD131+AS131</f>
        <v>546</v>
      </c>
      <c r="BD131" s="30">
        <f>IF(BA131&gt;0,Y131-BA131,BA131)</f>
        <v>546</v>
      </c>
      <c r="BE131" s="31">
        <v>4</v>
      </c>
      <c r="BF131" s="30" t="s">
        <v>76</v>
      </c>
      <c r="BG131" s="31">
        <f>BE131*Q131</f>
        <v>2400</v>
      </c>
      <c r="BH131" s="31">
        <f>BE131*R131*0.4</f>
        <v>0</v>
      </c>
      <c r="BI131" s="142">
        <f>BE131*T131</f>
        <v>0</v>
      </c>
      <c r="BJ131" s="142">
        <f>BE131*U131*0.4</f>
        <v>0</v>
      </c>
      <c r="BK131" s="32">
        <f>Y131*BE131</f>
        <v>2400</v>
      </c>
      <c r="BL131" s="25">
        <v>720</v>
      </c>
      <c r="BM131" s="25">
        <v>720</v>
      </c>
      <c r="BN131" s="25">
        <v>720</v>
      </c>
      <c r="BO131" s="25">
        <v>720</v>
      </c>
      <c r="BP131" s="25">
        <f>BE131*AV131</f>
        <v>0</v>
      </c>
      <c r="BQ131" s="25">
        <f>BE131*AX131</f>
        <v>0</v>
      </c>
      <c r="BR131" s="43"/>
    </row>
    <row r="132" spans="1:70" s="6" customFormat="1" ht="41.25" customHeight="1">
      <c r="A132" s="18">
        <v>129</v>
      </c>
      <c r="B132" s="18" t="s">
        <v>191</v>
      </c>
      <c r="C132" s="18" t="s">
        <v>192</v>
      </c>
      <c r="D132" s="21" t="s">
        <v>50</v>
      </c>
      <c r="E132" s="22" t="s">
        <v>1076</v>
      </c>
      <c r="F132" s="52" t="s">
        <v>123</v>
      </c>
      <c r="G132" s="52" t="s">
        <v>123</v>
      </c>
      <c r="H132" s="22" t="s">
        <v>655</v>
      </c>
      <c r="I132" s="22"/>
      <c r="J132" s="22"/>
      <c r="K132" s="22"/>
      <c r="L132" s="22"/>
      <c r="M132" s="23"/>
      <c r="N132" s="22" t="s">
        <v>1077</v>
      </c>
      <c r="O132" s="23"/>
      <c r="P132" s="38" t="s">
        <v>56</v>
      </c>
      <c r="Q132" s="29">
        <f>2760-508+350</f>
        <v>2602</v>
      </c>
      <c r="R132" s="72"/>
      <c r="S132" s="40">
        <v>2760</v>
      </c>
      <c r="T132" s="26"/>
      <c r="U132" s="26"/>
      <c r="V132" s="25">
        <v>2760</v>
      </c>
      <c r="W132" s="26"/>
      <c r="X132" s="25">
        <v>1656</v>
      </c>
      <c r="Y132" s="29">
        <f>T132+R132+Q132+U132+W132</f>
        <v>2602</v>
      </c>
      <c r="Z132" s="27">
        <v>13800</v>
      </c>
      <c r="AA132" s="64">
        <f>SUBTOTAL(9,AB132:AF132)</f>
        <v>149</v>
      </c>
      <c r="AB132" s="64">
        <v>102</v>
      </c>
      <c r="AC132" s="26"/>
      <c r="AD132" s="26"/>
      <c r="AE132" s="26"/>
      <c r="AF132" s="64">
        <v>47</v>
      </c>
      <c r="AG132" s="26"/>
      <c r="AH132" s="26"/>
      <c r="AI132" s="26"/>
      <c r="AJ132" s="26"/>
      <c r="AK132" s="26"/>
      <c r="AL132" s="26">
        <f>SUM(AM132:AS132)</f>
        <v>0</v>
      </c>
      <c r="AM132" s="26"/>
      <c r="AN132" s="26"/>
      <c r="AO132" s="26"/>
      <c r="AP132" s="26"/>
      <c r="AQ132" s="26"/>
      <c r="AR132" s="26"/>
      <c r="AS132" s="26"/>
      <c r="AT132" s="28"/>
      <c r="AU132" s="28"/>
      <c r="AV132" s="26"/>
      <c r="AW132" s="64">
        <v>102</v>
      </c>
      <c r="AX132" s="168">
        <v>1000</v>
      </c>
      <c r="AY132" s="29">
        <f>Y132-AV132-AX132-AW132</f>
        <v>1500</v>
      </c>
      <c r="AZ132" s="29">
        <f ca="1">'Layout for shadhous 1&amp;2'!I66</f>
        <v>1500</v>
      </c>
      <c r="BA132" s="26">
        <f>AL132+AG132+AA132+AT132</f>
        <v>149</v>
      </c>
      <c r="BB132" s="30">
        <f>BD132+AO132+AG132</f>
        <v>2453</v>
      </c>
      <c r="BC132" s="30">
        <f>BD132+AS132</f>
        <v>2453</v>
      </c>
      <c r="BD132" s="30">
        <f>IF(BA132&gt;0,Y132-BA132,BA132)</f>
        <v>2453</v>
      </c>
      <c r="BE132" s="31">
        <v>4</v>
      </c>
      <c r="BF132" s="30" t="s">
        <v>76</v>
      </c>
      <c r="BG132" s="31">
        <f>BE132*Q132</f>
        <v>10408</v>
      </c>
      <c r="BH132" s="31">
        <f>BE132*R132*0.4</f>
        <v>0</v>
      </c>
      <c r="BI132" s="142">
        <f>BE132*T132</f>
        <v>0</v>
      </c>
      <c r="BJ132" s="142">
        <f>BE132*U132*0.4</f>
        <v>0</v>
      </c>
      <c r="BK132" s="32">
        <f>Y132*BE132</f>
        <v>10408</v>
      </c>
      <c r="BL132" s="25">
        <v>1656</v>
      </c>
      <c r="BM132" s="25">
        <v>1656</v>
      </c>
      <c r="BN132" s="25">
        <v>1656</v>
      </c>
      <c r="BO132" s="25">
        <v>1656</v>
      </c>
      <c r="BP132" s="25">
        <f>BE132*AV132</f>
        <v>0</v>
      </c>
      <c r="BQ132" s="25">
        <f>BE132*AX132</f>
        <v>4000</v>
      </c>
      <c r="BR132" s="28"/>
    </row>
    <row r="133" spans="1:70" s="6" customFormat="1" ht="41.25" customHeight="1">
      <c r="A133" s="18">
        <v>130</v>
      </c>
      <c r="B133" s="18" t="s">
        <v>48</v>
      </c>
      <c r="C133" s="18" t="s">
        <v>49</v>
      </c>
      <c r="D133" s="19" t="s">
        <v>50</v>
      </c>
      <c r="E133" s="22" t="s">
        <v>1079</v>
      </c>
      <c r="F133" s="52" t="s">
        <v>123</v>
      </c>
      <c r="G133" s="52" t="s">
        <v>123</v>
      </c>
      <c r="H133" s="22"/>
      <c r="I133" s="22"/>
      <c r="J133" s="22"/>
      <c r="K133" s="22"/>
      <c r="L133" s="22"/>
      <c r="M133" s="23"/>
      <c r="N133" s="22" t="s">
        <v>1080</v>
      </c>
      <c r="O133" s="23"/>
      <c r="P133" s="18" t="s">
        <v>56</v>
      </c>
      <c r="Q133" s="29">
        <v>18340</v>
      </c>
      <c r="R133" s="26"/>
      <c r="S133" s="25">
        <v>18340</v>
      </c>
      <c r="T133" s="63">
        <f>6165+900+2850</f>
        <v>9915</v>
      </c>
      <c r="U133" s="26"/>
      <c r="V133" s="25">
        <v>18340</v>
      </c>
      <c r="W133" s="26"/>
      <c r="X133" s="25">
        <v>11004</v>
      </c>
      <c r="Y133" s="29">
        <f>T133+R133+Q133+U133+W133</f>
        <v>28255</v>
      </c>
      <c r="Z133" s="27">
        <v>91700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41">
        <f>SUM(AM133:AS133)</f>
        <v>18704</v>
      </c>
      <c r="AM133" s="41">
        <v>10505</v>
      </c>
      <c r="AN133" s="49">
        <v>4972</v>
      </c>
      <c r="AO133" s="49">
        <v>3227</v>
      </c>
      <c r="AP133" s="49"/>
      <c r="AQ133" s="49"/>
      <c r="AR133" s="49"/>
      <c r="AS133" s="49"/>
      <c r="AT133" s="43"/>
      <c r="AU133" s="43"/>
      <c r="AV133" s="41">
        <f>267+260+888+250+1800+1300+490+1650+1200+1600+800</f>
        <v>10505</v>
      </c>
      <c r="AW133" s="26"/>
      <c r="AX133" s="43"/>
      <c r="AY133" s="29">
        <f>Y133-AV133-AX133-AW133</f>
        <v>17750</v>
      </c>
      <c r="AZ133" s="29">
        <f ca="1">'Layout for shadhous 1&amp;2'!I65</f>
        <v>17750</v>
      </c>
      <c r="BA133" s="26">
        <f>AL133+AG133+AA133+AT133</f>
        <v>18704</v>
      </c>
      <c r="BB133" s="30">
        <f>BD133+AO133+AG133</f>
        <v>12778</v>
      </c>
      <c r="BC133" s="30">
        <f>BD133+AS133</f>
        <v>9551</v>
      </c>
      <c r="BD133" s="30">
        <f>IF(BA133&gt;0,Y133-BA133,BA133)</f>
        <v>9551</v>
      </c>
      <c r="BE133" s="31">
        <v>7</v>
      </c>
      <c r="BF133" s="30" t="s">
        <v>76</v>
      </c>
      <c r="BG133" s="31">
        <f>BE133*Q133</f>
        <v>128380</v>
      </c>
      <c r="BH133" s="31">
        <f>BE133*R133*0.4</f>
        <v>0</v>
      </c>
      <c r="BI133" s="31">
        <f>BE133*T133</f>
        <v>69405</v>
      </c>
      <c r="BJ133" s="31">
        <f>BE133*U133*0.4</f>
        <v>0</v>
      </c>
      <c r="BK133" s="32">
        <f>Y133*BE133</f>
        <v>197785</v>
      </c>
      <c r="BL133" s="25">
        <v>11004</v>
      </c>
      <c r="BM133" s="25">
        <v>11004</v>
      </c>
      <c r="BN133" s="25">
        <v>11004</v>
      </c>
      <c r="BO133" s="25">
        <v>11004</v>
      </c>
      <c r="BP133" s="25">
        <f>BE133*AV133</f>
        <v>73535</v>
      </c>
      <c r="BQ133" s="25">
        <f>BE133*AX133</f>
        <v>0</v>
      </c>
      <c r="BR133" s="43"/>
    </row>
    <row r="134" spans="1:70" s="6" customFormat="1" ht="41.25" customHeight="1">
      <c r="A134" s="18">
        <v>131</v>
      </c>
      <c r="B134" s="50" t="s">
        <v>66</v>
      </c>
      <c r="C134" s="44" t="s">
        <v>139</v>
      </c>
      <c r="D134" s="56" t="s">
        <v>50</v>
      </c>
      <c r="E134" s="50" t="s">
        <v>1091</v>
      </c>
      <c r="F134" s="52" t="s">
        <v>123</v>
      </c>
      <c r="G134" s="52" t="s">
        <v>123</v>
      </c>
      <c r="H134" s="50"/>
      <c r="I134" s="50"/>
      <c r="J134" s="50"/>
      <c r="K134" s="50"/>
      <c r="L134" s="50"/>
      <c r="M134" s="23"/>
      <c r="N134" s="22" t="s">
        <v>1092</v>
      </c>
      <c r="O134" s="23" t="s">
        <v>1093</v>
      </c>
      <c r="P134" s="18" t="s">
        <v>56</v>
      </c>
      <c r="Q134" s="29">
        <v>1620</v>
      </c>
      <c r="R134" s="72"/>
      <c r="S134" s="25">
        <v>1620</v>
      </c>
      <c r="T134" s="29">
        <v>1620</v>
      </c>
      <c r="U134" s="26"/>
      <c r="V134" s="25">
        <v>1620</v>
      </c>
      <c r="W134" s="29">
        <v>960</v>
      </c>
      <c r="X134" s="25">
        <v>972</v>
      </c>
      <c r="Y134" s="29">
        <f>T134+R134+Q134+U134+W134</f>
        <v>4200</v>
      </c>
      <c r="Z134" s="27">
        <v>8100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41">
        <f>SUM(AM134:AS134)</f>
        <v>2084</v>
      </c>
      <c r="AM134" s="41"/>
      <c r="AN134" s="49">
        <v>0</v>
      </c>
      <c r="AO134" s="49">
        <v>2084</v>
      </c>
      <c r="AP134" s="49"/>
      <c r="AQ134" s="49"/>
      <c r="AR134" s="49"/>
      <c r="AS134" s="49"/>
      <c r="AT134" s="43"/>
      <c r="AU134" s="43"/>
      <c r="AV134" s="26"/>
      <c r="AW134" s="26"/>
      <c r="AX134" s="43"/>
      <c r="AY134" s="29">
        <f>Y134-AV134-AX134-AW134</f>
        <v>4200</v>
      </c>
      <c r="AZ134" s="29">
        <f ca="1">'Layout for shadhous 1&amp;2'!L58</f>
        <v>4200</v>
      </c>
      <c r="BA134" s="26">
        <f>AL134+AG134+AA134+AT134</f>
        <v>2084</v>
      </c>
      <c r="BB134" s="30">
        <f>BD134+AO134+AG134</f>
        <v>4200</v>
      </c>
      <c r="BC134" s="30">
        <f>BD134+AS134</f>
        <v>2116</v>
      </c>
      <c r="BD134" s="30">
        <f>IF(BA134&gt;0,Y134-BA134,BA134)</f>
        <v>2116</v>
      </c>
      <c r="BE134" s="31">
        <v>24</v>
      </c>
      <c r="BF134" s="30" t="s">
        <v>76</v>
      </c>
      <c r="BG134" s="31">
        <f>BE134*Q134</f>
        <v>38880</v>
      </c>
      <c r="BH134" s="31">
        <f>BE134*R134*0.4</f>
        <v>0</v>
      </c>
      <c r="BI134" s="142">
        <f>BE134*T134</f>
        <v>38880</v>
      </c>
      <c r="BJ134" s="142">
        <f>BE134*U134*0.4</f>
        <v>0</v>
      </c>
      <c r="BK134" s="32">
        <f>Y134*BE134</f>
        <v>100800</v>
      </c>
      <c r="BL134" s="25">
        <v>972</v>
      </c>
      <c r="BM134" s="25">
        <v>972</v>
      </c>
      <c r="BN134" s="25">
        <v>972</v>
      </c>
      <c r="BO134" s="25">
        <v>972</v>
      </c>
      <c r="BP134" s="25">
        <f>BE134*AV134</f>
        <v>0</v>
      </c>
      <c r="BQ134" s="25">
        <f>BE134*AX134</f>
        <v>0</v>
      </c>
      <c r="BR134" s="43"/>
    </row>
    <row r="135" spans="1:70" s="6" customFormat="1" ht="41.25" customHeight="1">
      <c r="A135" s="18">
        <v>132</v>
      </c>
      <c r="B135" s="18" t="s">
        <v>191</v>
      </c>
      <c r="C135" s="18" t="s">
        <v>192</v>
      </c>
      <c r="D135" s="21" t="s">
        <v>50</v>
      </c>
      <c r="E135" s="22" t="s">
        <v>1094</v>
      </c>
      <c r="F135" s="52" t="s">
        <v>123</v>
      </c>
      <c r="G135" s="52" t="s">
        <v>123</v>
      </c>
      <c r="H135" s="22"/>
      <c r="I135" s="22"/>
      <c r="J135" s="22"/>
      <c r="K135" s="22"/>
      <c r="L135" s="22"/>
      <c r="M135" s="23"/>
      <c r="N135" s="22" t="s">
        <v>1095</v>
      </c>
      <c r="O135" s="23"/>
      <c r="P135" s="18" t="s">
        <v>56</v>
      </c>
      <c r="Q135" s="29">
        <f>160+260</f>
        <v>420</v>
      </c>
      <c r="R135" s="42"/>
      <c r="S135" s="25">
        <v>9800</v>
      </c>
      <c r="T135" s="26"/>
      <c r="U135" s="26"/>
      <c r="V135" s="25">
        <v>9800</v>
      </c>
      <c r="W135" s="26"/>
      <c r="X135" s="25">
        <v>5880</v>
      </c>
      <c r="Y135" s="29">
        <f>T135+R135+Q135+U135+W135</f>
        <v>420</v>
      </c>
      <c r="Z135" s="27">
        <v>49000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41">
        <f>SUM(AM135:AS135)</f>
        <v>44</v>
      </c>
      <c r="AM135" s="41"/>
      <c r="AN135" s="49">
        <v>0</v>
      </c>
      <c r="AO135" s="49">
        <v>44</v>
      </c>
      <c r="AP135" s="49"/>
      <c r="AQ135" s="49"/>
      <c r="AR135" s="49"/>
      <c r="AS135" s="49"/>
      <c r="AT135" s="43"/>
      <c r="AU135" s="43"/>
      <c r="AV135" s="26"/>
      <c r="AW135" s="26"/>
      <c r="AX135" s="43"/>
      <c r="AY135" s="29">
        <f>Y135-AV135-AX135-AW135</f>
        <v>420</v>
      </c>
      <c r="AZ135" s="29">
        <f ca="1">'Layout for shadhous 1&amp;2'!L57</f>
        <v>420</v>
      </c>
      <c r="BA135" s="26">
        <f>AL135+AG135+AA135+AT135</f>
        <v>44</v>
      </c>
      <c r="BB135" s="30">
        <f>BD135+AO135+AG135</f>
        <v>420</v>
      </c>
      <c r="BC135" s="30">
        <f>BD135+AS135</f>
        <v>376</v>
      </c>
      <c r="BD135" s="30">
        <f>IF(BA135&gt;0,Y135-BA135,BA135)</f>
        <v>376</v>
      </c>
      <c r="BE135" s="31">
        <v>4</v>
      </c>
      <c r="BF135" s="30" t="s">
        <v>76</v>
      </c>
      <c r="BG135" s="31">
        <f>BE135*Q135</f>
        <v>1680</v>
      </c>
      <c r="BH135" s="31">
        <f>BE135*R135*0.4</f>
        <v>0</v>
      </c>
      <c r="BI135" s="31">
        <f>BE135*T135</f>
        <v>0</v>
      </c>
      <c r="BJ135" s="31">
        <f>BE135*U135*0.4</f>
        <v>0</v>
      </c>
      <c r="BK135" s="32">
        <f>Y135*BE135</f>
        <v>1680</v>
      </c>
      <c r="BL135" s="25">
        <v>5880</v>
      </c>
      <c r="BM135" s="25">
        <v>5880</v>
      </c>
      <c r="BN135" s="25">
        <v>5880</v>
      </c>
      <c r="BO135" s="25">
        <v>5880</v>
      </c>
      <c r="BP135" s="25">
        <f>BE135*AV135</f>
        <v>0</v>
      </c>
      <c r="BQ135" s="25">
        <f>BE135*AX135</f>
        <v>0</v>
      </c>
      <c r="BR135" s="43"/>
    </row>
    <row r="136" spans="1:70" s="6" customFormat="1" ht="41.25" customHeight="1">
      <c r="A136" s="18">
        <v>133</v>
      </c>
      <c r="B136" s="18" t="s">
        <v>191</v>
      </c>
      <c r="C136" s="18" t="s">
        <v>192</v>
      </c>
      <c r="D136" s="21" t="s">
        <v>50</v>
      </c>
      <c r="E136" s="22" t="s">
        <v>1094</v>
      </c>
      <c r="F136" s="52" t="s">
        <v>123</v>
      </c>
      <c r="G136" s="52" t="s">
        <v>123</v>
      </c>
      <c r="H136" s="22">
        <v>120</v>
      </c>
      <c r="I136" s="22">
        <v>200</v>
      </c>
      <c r="J136" s="22"/>
      <c r="K136" s="22"/>
      <c r="L136" s="22"/>
      <c r="M136" s="23"/>
      <c r="N136" s="22" t="s">
        <v>1096</v>
      </c>
      <c r="O136" s="23" t="s">
        <v>1097</v>
      </c>
      <c r="P136" s="38" t="s">
        <v>56</v>
      </c>
      <c r="Q136" s="29">
        <v>130</v>
      </c>
      <c r="R136" s="42"/>
      <c r="S136" s="40">
        <v>260</v>
      </c>
      <c r="T136" s="26"/>
      <c r="U136" s="26"/>
      <c r="V136" s="25">
        <v>260</v>
      </c>
      <c r="W136" s="26"/>
      <c r="X136" s="25">
        <v>156</v>
      </c>
      <c r="Y136" s="29">
        <f>T136+R136+Q136+U136+W136</f>
        <v>130</v>
      </c>
      <c r="Z136" s="27">
        <v>1300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>
        <f>SUM(AM136:AS136)</f>
        <v>0</v>
      </c>
      <c r="AM136" s="26"/>
      <c r="AN136" s="78"/>
      <c r="AO136" s="78"/>
      <c r="AP136" s="78"/>
      <c r="AQ136" s="78"/>
      <c r="AR136" s="78"/>
      <c r="AS136" s="78"/>
      <c r="AT136" s="43"/>
      <c r="AU136" s="43"/>
      <c r="AV136" s="26"/>
      <c r="AW136" s="26"/>
      <c r="AX136" s="43"/>
      <c r="AY136" s="29">
        <f>Y136-AV136-AX136-AW136</f>
        <v>130</v>
      </c>
      <c r="AZ136" s="29">
        <f ca="1">'Layout for shadhous 1&amp;2'!L59</f>
        <v>0</v>
      </c>
      <c r="BA136" s="26">
        <f>AL136+AG136+AA136+AT136</f>
        <v>0</v>
      </c>
      <c r="BB136" s="30">
        <f>BD136+AO136+AG136</f>
        <v>0</v>
      </c>
      <c r="BC136" s="30">
        <f>BD136+AS136</f>
        <v>0</v>
      </c>
      <c r="BD136" s="30">
        <f>IF(BA136&gt;0,Y136-BA136,BA136)</f>
        <v>0</v>
      </c>
      <c r="BE136" s="31">
        <v>8</v>
      </c>
      <c r="BF136" s="30" t="s">
        <v>76</v>
      </c>
      <c r="BG136" s="31">
        <f>BE136*Q136</f>
        <v>1040</v>
      </c>
      <c r="BH136" s="31">
        <f>BE136*R136*0.4</f>
        <v>0</v>
      </c>
      <c r="BI136" s="31">
        <f>BE136*T136</f>
        <v>0</v>
      </c>
      <c r="BJ136" s="31">
        <f>BE136*U136*0.4</f>
        <v>0</v>
      </c>
      <c r="BK136" s="32">
        <f>Y136*BE136</f>
        <v>1040</v>
      </c>
      <c r="BL136" s="25">
        <v>156</v>
      </c>
      <c r="BM136" s="25">
        <v>156</v>
      </c>
      <c r="BN136" s="25">
        <v>156</v>
      </c>
      <c r="BO136" s="25">
        <v>156</v>
      </c>
      <c r="BP136" s="25">
        <f>BE136*AV136</f>
        <v>0</v>
      </c>
      <c r="BQ136" s="25">
        <f>BE136*AX136</f>
        <v>0</v>
      </c>
      <c r="BR136" s="43"/>
    </row>
    <row r="137" spans="1:70" s="6" customFormat="1" ht="41.25" customHeight="1">
      <c r="A137" s="18">
        <v>134</v>
      </c>
      <c r="B137" s="18" t="s">
        <v>58</v>
      </c>
      <c r="C137" s="18" t="s">
        <v>259</v>
      </c>
      <c r="D137" s="21" t="s">
        <v>50</v>
      </c>
      <c r="E137" s="22" t="s">
        <v>1074</v>
      </c>
      <c r="F137" s="52" t="s">
        <v>123</v>
      </c>
      <c r="G137" s="52" t="s">
        <v>123</v>
      </c>
      <c r="H137" s="22">
        <v>120</v>
      </c>
      <c r="I137" s="22">
        <v>200</v>
      </c>
      <c r="J137" s="22"/>
      <c r="K137" s="22"/>
      <c r="L137" s="22"/>
      <c r="M137" s="23"/>
      <c r="N137" s="22" t="s">
        <v>1102</v>
      </c>
      <c r="O137" s="23" t="s">
        <v>1103</v>
      </c>
      <c r="P137" s="18" t="s">
        <v>56</v>
      </c>
      <c r="Q137" s="84"/>
      <c r="R137" s="29">
        <v>2263</v>
      </c>
      <c r="S137" s="25">
        <v>6260</v>
      </c>
      <c r="T137" s="26"/>
      <c r="U137" s="26"/>
      <c r="V137" s="25">
        <v>6260</v>
      </c>
      <c r="W137" s="26"/>
      <c r="X137" s="25">
        <v>3756</v>
      </c>
      <c r="Y137" s="29">
        <f>T137+R137+Q137+U137+W137</f>
        <v>2263</v>
      </c>
      <c r="Z137" s="27">
        <v>31300</v>
      </c>
      <c r="AA137" s="64">
        <f>SUBTOTAL(9,AB137:AF137)</f>
        <v>59</v>
      </c>
      <c r="AB137" s="64">
        <v>41</v>
      </c>
      <c r="AC137" s="26"/>
      <c r="AD137" s="26"/>
      <c r="AE137" s="26"/>
      <c r="AF137" s="64">
        <v>18</v>
      </c>
      <c r="AG137" s="26"/>
      <c r="AH137" s="26"/>
      <c r="AI137" s="26"/>
      <c r="AJ137" s="26"/>
      <c r="AK137" s="26"/>
      <c r="AL137" s="41">
        <f>SUM(AM137:AS137)</f>
        <v>3880</v>
      </c>
      <c r="AM137" s="41">
        <v>422</v>
      </c>
      <c r="AN137" s="49"/>
      <c r="AO137" s="49">
        <v>3458</v>
      </c>
      <c r="AP137" s="49"/>
      <c r="AQ137" s="49"/>
      <c r="AR137" s="49"/>
      <c r="AS137" s="49"/>
      <c r="AT137" s="43"/>
      <c r="AU137" s="43"/>
      <c r="AV137" s="41">
        <v>422</v>
      </c>
      <c r="AW137" s="64">
        <v>41</v>
      </c>
      <c r="AX137" s="43"/>
      <c r="AY137" s="29">
        <f>Y137-AV137-AX137-AW137</f>
        <v>1800</v>
      </c>
      <c r="AZ137" s="29">
        <f ca="1">'Layout for shadhous 1&amp;2'!I73</f>
        <v>1800</v>
      </c>
      <c r="BA137" s="26">
        <f>AL137+AG137+AA137+AT137</f>
        <v>3939</v>
      </c>
      <c r="BB137" s="30">
        <f>BD137+AO137+AG137</f>
        <v>1782</v>
      </c>
      <c r="BC137" s="30">
        <f>BD137+AS137</f>
        <v>-1676</v>
      </c>
      <c r="BD137" s="30">
        <f>IF(BA137&gt;0,Y137-BA137,BA137)</f>
        <v>-1676</v>
      </c>
      <c r="BE137" s="31">
        <v>20</v>
      </c>
      <c r="BF137" s="30" t="s">
        <v>76</v>
      </c>
      <c r="BG137" s="31">
        <f>BE137*Q137</f>
        <v>0</v>
      </c>
      <c r="BH137" s="31">
        <f>BE137*R137*0.4</f>
        <v>18104</v>
      </c>
      <c r="BI137" s="31">
        <f>BE137*T137</f>
        <v>0</v>
      </c>
      <c r="BJ137" s="31">
        <f>BE137*U137*0.4</f>
        <v>0</v>
      </c>
      <c r="BK137" s="32">
        <f>Y137*BE137</f>
        <v>45260</v>
      </c>
      <c r="BL137" s="25">
        <v>3756</v>
      </c>
      <c r="BM137" s="25">
        <v>3756</v>
      </c>
      <c r="BN137" s="25">
        <v>3756</v>
      </c>
      <c r="BO137" s="25">
        <v>3756</v>
      </c>
      <c r="BP137" s="25">
        <f>BE137*AV137</f>
        <v>8440</v>
      </c>
      <c r="BQ137" s="25">
        <f>BE137*AX137</f>
        <v>0</v>
      </c>
      <c r="BR137" s="43"/>
    </row>
    <row r="138" spans="1:70" s="6" customFormat="1" ht="41.25" customHeight="1">
      <c r="A138" s="18">
        <v>135</v>
      </c>
      <c r="B138" s="18" t="s">
        <v>191</v>
      </c>
      <c r="C138" s="18" t="s">
        <v>192</v>
      </c>
      <c r="D138" s="21" t="s">
        <v>50</v>
      </c>
      <c r="E138" s="22" t="s">
        <v>1104</v>
      </c>
      <c r="F138" s="52" t="s">
        <v>123</v>
      </c>
      <c r="G138" s="52" t="s">
        <v>123</v>
      </c>
      <c r="H138" s="22">
        <v>120</v>
      </c>
      <c r="I138" s="22">
        <v>200</v>
      </c>
      <c r="J138" s="22"/>
      <c r="K138" s="22"/>
      <c r="L138" s="22"/>
      <c r="M138" s="23"/>
      <c r="N138" s="22" t="s">
        <v>1105</v>
      </c>
      <c r="O138" s="23"/>
      <c r="P138" s="18" t="s">
        <v>56</v>
      </c>
      <c r="Q138" s="29">
        <v>160</v>
      </c>
      <c r="R138" s="72"/>
      <c r="S138" s="25">
        <v>260</v>
      </c>
      <c r="T138" s="26"/>
      <c r="U138" s="26"/>
      <c r="V138" s="25">
        <v>260</v>
      </c>
      <c r="W138" s="26"/>
      <c r="X138" s="25">
        <v>156</v>
      </c>
      <c r="Y138" s="29">
        <f>T138+R138+Q138+U138+W138</f>
        <v>160</v>
      </c>
      <c r="Z138" s="27">
        <v>1300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>
        <f>SUM(AM138:AS138)</f>
        <v>0</v>
      </c>
      <c r="AM138" s="26"/>
      <c r="AN138" s="26"/>
      <c r="AO138" s="26"/>
      <c r="AP138" s="26"/>
      <c r="AQ138" s="26"/>
      <c r="AR138" s="26"/>
      <c r="AS138" s="26"/>
      <c r="AT138" s="28"/>
      <c r="AU138" s="28"/>
      <c r="AV138" s="26"/>
      <c r="AW138" s="26"/>
      <c r="AX138" s="28"/>
      <c r="AY138" s="29">
        <f>Y138-AV138-AX138-AW138</f>
        <v>160</v>
      </c>
      <c r="AZ138" s="29"/>
      <c r="BA138" s="26">
        <f>AL138+AG138+AA138+AT138</f>
        <v>0</v>
      </c>
      <c r="BB138" s="30">
        <f>BD138+AO138+AG138</f>
        <v>0</v>
      </c>
      <c r="BC138" s="30">
        <f>BD138+AS138</f>
        <v>0</v>
      </c>
      <c r="BD138" s="30">
        <f>IF(BA138&gt;0,Y138-BA138,BA138)</f>
        <v>0</v>
      </c>
      <c r="BE138" s="31">
        <v>8</v>
      </c>
      <c r="BF138" s="30" t="s">
        <v>76</v>
      </c>
      <c r="BG138" s="31">
        <f>BE138*Q138</f>
        <v>1280</v>
      </c>
      <c r="BH138" s="31">
        <f>BE138*R138*0.4</f>
        <v>0</v>
      </c>
      <c r="BI138" s="31">
        <f>BE138*T138</f>
        <v>0</v>
      </c>
      <c r="BJ138" s="31">
        <f>BE138*U138*0.4</f>
        <v>0</v>
      </c>
      <c r="BK138" s="32">
        <f>Y138*BE138</f>
        <v>1280</v>
      </c>
      <c r="BL138" s="25">
        <v>156</v>
      </c>
      <c r="BM138" s="25">
        <v>156</v>
      </c>
      <c r="BN138" s="25">
        <v>156</v>
      </c>
      <c r="BO138" s="25">
        <v>156</v>
      </c>
      <c r="BP138" s="25">
        <f>BE138*AV138</f>
        <v>0</v>
      </c>
      <c r="BQ138" s="25">
        <f>BE138*AX138</f>
        <v>0</v>
      </c>
      <c r="BR138" s="28"/>
    </row>
    <row r="139" spans="1:70" s="6" customFormat="1" ht="41.25" customHeight="1">
      <c r="A139" s="18">
        <v>136</v>
      </c>
      <c r="B139" s="18" t="s">
        <v>58</v>
      </c>
      <c r="C139" s="18" t="s">
        <v>547</v>
      </c>
      <c r="D139" s="36" t="s">
        <v>68</v>
      </c>
      <c r="E139" s="22" t="s">
        <v>1109</v>
      </c>
      <c r="F139" s="36" t="s">
        <v>70</v>
      </c>
      <c r="G139" s="36" t="s">
        <v>70</v>
      </c>
      <c r="H139" s="22"/>
      <c r="I139" s="37" t="s">
        <v>1110</v>
      </c>
      <c r="J139" s="37"/>
      <c r="K139" s="37"/>
      <c r="L139" s="22"/>
      <c r="M139" s="23" t="s">
        <v>1111</v>
      </c>
      <c r="N139" s="22" t="s">
        <v>1112</v>
      </c>
      <c r="O139" s="23"/>
      <c r="P139" s="38" t="s">
        <v>56</v>
      </c>
      <c r="Q139" s="29">
        <v>16</v>
      </c>
      <c r="R139" s="72"/>
      <c r="S139" s="40">
        <v>22</v>
      </c>
      <c r="T139" s="26"/>
      <c r="U139" s="26"/>
      <c r="V139" s="25">
        <v>13</v>
      </c>
      <c r="W139" s="26"/>
      <c r="X139" s="25">
        <v>13</v>
      </c>
      <c r="Y139" s="29">
        <f>T139+R139+Q139+U139+W139</f>
        <v>16</v>
      </c>
      <c r="Z139" s="27">
        <v>110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>
        <f>SUM(AM139:AS139)</f>
        <v>0</v>
      </c>
      <c r="AM139" s="26"/>
      <c r="AN139" s="26"/>
      <c r="AO139" s="26"/>
      <c r="AP139" s="26"/>
      <c r="AQ139" s="26"/>
      <c r="AR139" s="26"/>
      <c r="AS139" s="26"/>
      <c r="AT139" s="28"/>
      <c r="AU139" s="28"/>
      <c r="AV139" s="26"/>
      <c r="AW139" s="26"/>
      <c r="AX139" s="28"/>
      <c r="AY139" s="29">
        <f>Y139-AV139-AX139-AW139</f>
        <v>16</v>
      </c>
      <c r="AZ139" s="29">
        <f>'Layout for trees right'!M24</f>
        <v>16</v>
      </c>
      <c r="BA139" s="26">
        <f>AL139+AG139+AA139+AT139</f>
        <v>0</v>
      </c>
      <c r="BB139" s="30">
        <f>BD139+AO139+AG139</f>
        <v>0</v>
      </c>
      <c r="BC139" s="30">
        <f>BD139+AS139</f>
        <v>0</v>
      </c>
      <c r="BD139" s="30">
        <f>IF(BA139&gt;0,Y139-BA139,BA139)</f>
        <v>0</v>
      </c>
      <c r="BE139" s="31">
        <v>73</v>
      </c>
      <c r="BF139" s="30" t="s">
        <v>76</v>
      </c>
      <c r="BG139" s="31">
        <f>BE139*Q139</f>
        <v>1168</v>
      </c>
      <c r="BH139" s="31">
        <f>BE139*R139*0.4</f>
        <v>0</v>
      </c>
      <c r="BI139" s="142">
        <f>BE139*T139</f>
        <v>0</v>
      </c>
      <c r="BJ139" s="142">
        <f>BE139*U139*0.4</f>
        <v>0</v>
      </c>
      <c r="BK139" s="32">
        <f>Y139*BE139</f>
        <v>1168</v>
      </c>
      <c r="BL139" s="25">
        <v>13</v>
      </c>
      <c r="BM139" s="25">
        <v>13</v>
      </c>
      <c r="BN139" s="25">
        <v>13</v>
      </c>
      <c r="BO139" s="25">
        <v>23</v>
      </c>
      <c r="BP139" s="25">
        <f>BE139*AV139</f>
        <v>0</v>
      </c>
      <c r="BQ139" s="25">
        <f>BE139*AX139</f>
        <v>0</v>
      </c>
      <c r="BR139" s="28"/>
    </row>
    <row r="140" spans="1:70" s="6" customFormat="1" ht="41.25" customHeight="1">
      <c r="A140" s="18">
        <v>137</v>
      </c>
      <c r="B140" s="50" t="s">
        <v>66</v>
      </c>
      <c r="C140" s="44" t="s">
        <v>139</v>
      </c>
      <c r="D140" s="56" t="s">
        <v>50</v>
      </c>
      <c r="E140" s="50" t="s">
        <v>1091</v>
      </c>
      <c r="F140" s="52" t="s">
        <v>123</v>
      </c>
      <c r="G140" s="52" t="s">
        <v>123</v>
      </c>
      <c r="H140" s="50">
        <v>200</v>
      </c>
      <c r="I140" s="50">
        <v>300</v>
      </c>
      <c r="J140" s="50"/>
      <c r="K140" s="50"/>
      <c r="L140" s="22" t="s">
        <v>119</v>
      </c>
      <c r="M140" s="23"/>
      <c r="N140" s="22" t="s">
        <v>1116</v>
      </c>
      <c r="O140" s="23" t="s">
        <v>1117</v>
      </c>
      <c r="P140" s="18" t="s">
        <v>56</v>
      </c>
      <c r="Q140" s="72"/>
      <c r="R140" s="72"/>
      <c r="S140" s="25">
        <v>460</v>
      </c>
      <c r="T140" s="26"/>
      <c r="U140" s="26"/>
      <c r="V140" s="25">
        <v>460</v>
      </c>
      <c r="W140" s="26"/>
      <c r="X140" s="25">
        <v>276</v>
      </c>
      <c r="Y140" s="26">
        <f>T140+R140+Q140+U140+W140</f>
        <v>0</v>
      </c>
      <c r="Z140" s="27">
        <v>2300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>
        <f>SUM(AM140:AS140)</f>
        <v>0</v>
      </c>
      <c r="AM140" s="26"/>
      <c r="AN140" s="26"/>
      <c r="AO140" s="26"/>
      <c r="AP140" s="26"/>
      <c r="AQ140" s="26"/>
      <c r="AR140" s="26"/>
      <c r="AS140" s="26"/>
      <c r="AT140" s="28"/>
      <c r="AU140" s="28"/>
      <c r="AV140" s="26"/>
      <c r="AW140" s="26"/>
      <c r="AX140" s="28"/>
      <c r="AY140" s="72">
        <f>Y140-AV140-AX140-AW140</f>
        <v>0</v>
      </c>
      <c r="AZ140" s="68"/>
      <c r="BA140" s="26">
        <f>AL140+AG140+AA140+AT140</f>
        <v>0</v>
      </c>
      <c r="BB140" s="30">
        <f>BD140+AO140+AG140</f>
        <v>0</v>
      </c>
      <c r="BC140" s="30">
        <f>BD140+AS140</f>
        <v>0</v>
      </c>
      <c r="BD140" s="30">
        <f>IF(BA140&gt;0,Y140-BA140,BA140)</f>
        <v>0</v>
      </c>
      <c r="BE140" s="31">
        <v>23</v>
      </c>
      <c r="BF140" s="30" t="s">
        <v>76</v>
      </c>
      <c r="BG140" s="31">
        <f>BE140*Q140</f>
        <v>0</v>
      </c>
      <c r="BH140" s="31">
        <f>BE140*R140*0.4</f>
        <v>0</v>
      </c>
      <c r="BI140" s="31">
        <f>BE140*T140</f>
        <v>0</v>
      </c>
      <c r="BJ140" s="31">
        <f>BE140*U140*0.4</f>
        <v>0</v>
      </c>
      <c r="BK140" s="32">
        <f>Y140*BE140</f>
        <v>0</v>
      </c>
      <c r="BL140" s="25">
        <v>276</v>
      </c>
      <c r="BM140" s="25">
        <v>276</v>
      </c>
      <c r="BN140" s="25">
        <v>276</v>
      </c>
      <c r="BO140" s="25">
        <v>276</v>
      </c>
      <c r="BP140" s="25">
        <f>BE140*AV140</f>
        <v>0</v>
      </c>
      <c r="BQ140" s="25">
        <f>BE140*AX140</f>
        <v>0</v>
      </c>
      <c r="BR140" s="28"/>
    </row>
    <row r="141" spans="1:70" s="6" customFormat="1" ht="41.25" customHeight="1">
      <c r="A141" s="18">
        <v>138</v>
      </c>
      <c r="B141" s="18" t="s">
        <v>66</v>
      </c>
      <c r="C141" s="18" t="s">
        <v>139</v>
      </c>
      <c r="D141" s="56" t="s">
        <v>50</v>
      </c>
      <c r="E141" s="22" t="s">
        <v>1134</v>
      </c>
      <c r="F141" s="52" t="s">
        <v>123</v>
      </c>
      <c r="G141" s="52" t="s">
        <v>123</v>
      </c>
      <c r="H141" s="22">
        <v>120</v>
      </c>
      <c r="I141" s="22">
        <v>200</v>
      </c>
      <c r="J141" s="22"/>
      <c r="K141" s="22"/>
      <c r="L141" s="22"/>
      <c r="M141" s="23"/>
      <c r="N141" s="22" t="s">
        <v>1135</v>
      </c>
      <c r="O141" s="23" t="s">
        <v>1136</v>
      </c>
      <c r="P141" s="18" t="s">
        <v>56</v>
      </c>
      <c r="Q141" s="29">
        <v>150</v>
      </c>
      <c r="R141" s="72"/>
      <c r="S141" s="25">
        <v>920</v>
      </c>
      <c r="T141" s="26"/>
      <c r="U141" s="26"/>
      <c r="V141" s="25">
        <v>920</v>
      </c>
      <c r="W141" s="26"/>
      <c r="X141" s="25">
        <v>552</v>
      </c>
      <c r="Y141" s="53">
        <f>T141+R141+Q141+U141+W141</f>
        <v>150</v>
      </c>
      <c r="Z141" s="27">
        <v>4600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>
        <f>SUM(AM141:AS141)</f>
        <v>0</v>
      </c>
      <c r="AM141" s="26"/>
      <c r="AN141" s="26"/>
      <c r="AO141" s="26"/>
      <c r="AP141" s="26"/>
      <c r="AQ141" s="26"/>
      <c r="AR141" s="26"/>
      <c r="AS141" s="26"/>
      <c r="AT141" s="28"/>
      <c r="AU141" s="28"/>
      <c r="AV141" s="26"/>
      <c r="AW141" s="26"/>
      <c r="AX141" s="28"/>
      <c r="AY141" s="29">
        <f>Y141-AV141-AX141-AW141</f>
        <v>150</v>
      </c>
      <c r="AZ141" s="29">
        <f ca="1">'Layout for shadhous 1&amp;2'!L54</f>
        <v>150</v>
      </c>
      <c r="BA141" s="26">
        <f>AL141+AG141+AA141+AT141</f>
        <v>0</v>
      </c>
      <c r="BB141" s="30">
        <f>BD141+AO141+AG141</f>
        <v>0</v>
      </c>
      <c r="BC141" s="30">
        <f>BD141+AS141</f>
        <v>0</v>
      </c>
      <c r="BD141" s="30">
        <f>IF(BA141&gt;0,Y141-BA141,BA141)</f>
        <v>0</v>
      </c>
      <c r="BE141" s="31">
        <v>22</v>
      </c>
      <c r="BF141" s="30" t="s">
        <v>76</v>
      </c>
      <c r="BG141" s="31">
        <f>BE141*Q141</f>
        <v>3300</v>
      </c>
      <c r="BH141" s="31">
        <f>BE141*R141*0.4</f>
        <v>0</v>
      </c>
      <c r="BI141" s="142">
        <f>BE141*T141</f>
        <v>0</v>
      </c>
      <c r="BJ141" s="142">
        <f>BE141*U141*0.4</f>
        <v>0</v>
      </c>
      <c r="BK141" s="32">
        <f>Y141*BE141</f>
        <v>3300</v>
      </c>
      <c r="BL141" s="25">
        <v>552</v>
      </c>
      <c r="BM141" s="25">
        <v>552</v>
      </c>
      <c r="BN141" s="25">
        <v>552</v>
      </c>
      <c r="BO141" s="25">
        <v>552</v>
      </c>
      <c r="BP141" s="25">
        <f>BE141*AV141</f>
        <v>0</v>
      </c>
      <c r="BQ141" s="25">
        <f>BE141*AX141</f>
        <v>0</v>
      </c>
      <c r="BR141" s="28"/>
    </row>
    <row r="142" spans="1:70" s="6" customFormat="1" ht="41.25" customHeight="1">
      <c r="A142" s="18">
        <v>139</v>
      </c>
      <c r="B142" s="18" t="s">
        <v>66</v>
      </c>
      <c r="C142" s="65" t="s">
        <v>225</v>
      </c>
      <c r="D142" s="56" t="s">
        <v>50</v>
      </c>
      <c r="E142" s="22" t="s">
        <v>942</v>
      </c>
      <c r="F142" s="34" t="s">
        <v>128</v>
      </c>
      <c r="G142" s="34" t="s">
        <v>128</v>
      </c>
      <c r="H142" s="50"/>
      <c r="I142" s="50"/>
      <c r="J142" s="50"/>
      <c r="K142" s="50"/>
      <c r="L142" s="50" t="s">
        <v>52</v>
      </c>
      <c r="M142" s="23"/>
      <c r="N142" s="22" t="s">
        <v>1156</v>
      </c>
      <c r="O142" s="23" t="s">
        <v>1157</v>
      </c>
      <c r="P142" s="18" t="s">
        <v>56</v>
      </c>
      <c r="Q142" s="29">
        <v>141</v>
      </c>
      <c r="R142" s="72"/>
      <c r="S142" s="25">
        <v>720</v>
      </c>
      <c r="T142" s="26"/>
      <c r="U142" s="26"/>
      <c r="V142" s="25">
        <v>720</v>
      </c>
      <c r="W142" s="26"/>
      <c r="X142" s="25">
        <v>432</v>
      </c>
      <c r="Y142" s="53">
        <f>T142+R142+Q142+U142+W142</f>
        <v>141</v>
      </c>
      <c r="Z142" s="27">
        <v>3600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41">
        <f>SUM(AM142:AS142)</f>
        <v>141</v>
      </c>
      <c r="AM142" s="41">
        <v>141</v>
      </c>
      <c r="AN142" s="49">
        <v>0</v>
      </c>
      <c r="AO142" s="49"/>
      <c r="AP142" s="49"/>
      <c r="AQ142" s="49"/>
      <c r="AR142" s="49"/>
      <c r="AS142" s="49"/>
      <c r="AT142" s="43"/>
      <c r="AU142" s="43"/>
      <c r="AV142" s="41">
        <v>141</v>
      </c>
      <c r="AW142" s="26"/>
      <c r="AX142" s="43"/>
      <c r="AY142" s="72">
        <f>Y142-AV142-AX142-AW142</f>
        <v>0</v>
      </c>
      <c r="AZ142" s="68"/>
      <c r="BA142" s="26">
        <f>AL142+AG142+AA142+AT142</f>
        <v>141</v>
      </c>
      <c r="BB142" s="30">
        <f>BD142+AO142+AG142</f>
        <v>0</v>
      </c>
      <c r="BC142" s="30">
        <f>BD142+AS142</f>
        <v>0</v>
      </c>
      <c r="BD142" s="30">
        <f>IF(BA142&gt;0,Y142-BA142,BA142)</f>
        <v>0</v>
      </c>
      <c r="BE142" s="31">
        <v>19</v>
      </c>
      <c r="BF142" s="30" t="s">
        <v>76</v>
      </c>
      <c r="BG142" s="31">
        <f>BE142*Q142</f>
        <v>2679</v>
      </c>
      <c r="BH142" s="31">
        <f>BE142*R142*0.4</f>
        <v>0</v>
      </c>
      <c r="BI142" s="142">
        <f>BE142*T142</f>
        <v>0</v>
      </c>
      <c r="BJ142" s="142">
        <f>BE142*U142*0.4</f>
        <v>0</v>
      </c>
      <c r="BK142" s="32">
        <f>Y142*BE142</f>
        <v>2679</v>
      </c>
      <c r="BL142" s="25">
        <v>432</v>
      </c>
      <c r="BM142" s="25">
        <v>432</v>
      </c>
      <c r="BN142" s="25">
        <v>432</v>
      </c>
      <c r="BO142" s="25">
        <v>432</v>
      </c>
      <c r="BP142" s="25">
        <f>BE142*AV142</f>
        <v>2679</v>
      </c>
      <c r="BQ142" s="25">
        <f>BE142*AX142</f>
        <v>0</v>
      </c>
      <c r="BR142" s="43">
        <v>413</v>
      </c>
    </row>
    <row r="143" spans="1:70" s="6" customFormat="1" ht="41.25" customHeight="1">
      <c r="A143" s="18">
        <v>140</v>
      </c>
      <c r="B143" s="18" t="s">
        <v>66</v>
      </c>
      <c r="C143" s="65" t="s">
        <v>225</v>
      </c>
      <c r="D143" s="56" t="s">
        <v>50</v>
      </c>
      <c r="E143" s="22" t="s">
        <v>1158</v>
      </c>
      <c r="F143" s="34" t="s">
        <v>128</v>
      </c>
      <c r="G143" s="34" t="s">
        <v>128</v>
      </c>
      <c r="H143" s="22"/>
      <c r="I143" s="22"/>
      <c r="J143" s="22"/>
      <c r="K143" s="22"/>
      <c r="L143" s="22"/>
      <c r="M143" s="23"/>
      <c r="N143" s="22" t="s">
        <v>1159</v>
      </c>
      <c r="O143" s="23" t="s">
        <v>1160</v>
      </c>
      <c r="P143" s="18" t="s">
        <v>56</v>
      </c>
      <c r="Q143" s="29">
        <v>1800</v>
      </c>
      <c r="R143" s="72"/>
      <c r="S143" s="25">
        <v>7160</v>
      </c>
      <c r="T143" s="26"/>
      <c r="U143" s="26"/>
      <c r="V143" s="25">
        <v>7160</v>
      </c>
      <c r="W143" s="26"/>
      <c r="X143" s="25">
        <v>4296</v>
      </c>
      <c r="Y143" s="29">
        <f>T143+R143+Q143+U143+W143</f>
        <v>1800</v>
      </c>
      <c r="Z143" s="27">
        <v>35800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>
        <f>SUM(AM143:AS143)</f>
        <v>0</v>
      </c>
      <c r="AM143" s="41"/>
      <c r="AN143" s="49">
        <v>0</v>
      </c>
      <c r="AO143" s="49"/>
      <c r="AP143" s="49"/>
      <c r="AQ143" s="49"/>
      <c r="AR143" s="49"/>
      <c r="AS143" s="49"/>
      <c r="AT143" s="43"/>
      <c r="AU143" s="43"/>
      <c r="AV143" s="26"/>
      <c r="AW143" s="26"/>
      <c r="AX143" s="43"/>
      <c r="AY143" s="29">
        <f>Y143-AV143-AX143-AW143</f>
        <v>1800</v>
      </c>
      <c r="AZ143" s="29">
        <f ca="1">'Layout for shadhous 1&amp;2'!L55</f>
        <v>1800</v>
      </c>
      <c r="BA143" s="26">
        <f>AL143+AG143+AA143+AT143</f>
        <v>0</v>
      </c>
      <c r="BB143" s="30">
        <f>BD143+AO143+AG143</f>
        <v>0</v>
      </c>
      <c r="BC143" s="30">
        <f>BD143+AS143</f>
        <v>0</v>
      </c>
      <c r="BD143" s="30">
        <f>IF(BA143&gt;0,Y143-BA143,BA143)</f>
        <v>0</v>
      </c>
      <c r="BE143" s="31">
        <v>20</v>
      </c>
      <c r="BF143" s="30" t="s">
        <v>76</v>
      </c>
      <c r="BG143" s="31">
        <f>BE143*Q143</f>
        <v>36000</v>
      </c>
      <c r="BH143" s="31">
        <f>BE143*R143*0.4</f>
        <v>0</v>
      </c>
      <c r="BI143" s="31">
        <f>BE143*T143</f>
        <v>0</v>
      </c>
      <c r="BJ143" s="31">
        <f>BE143*U143*0.4</f>
        <v>0</v>
      </c>
      <c r="BK143" s="32">
        <f>Y143*BE143</f>
        <v>36000</v>
      </c>
      <c r="BL143" s="25">
        <v>4296</v>
      </c>
      <c r="BM143" s="25">
        <v>4296</v>
      </c>
      <c r="BN143" s="25">
        <v>4296</v>
      </c>
      <c r="BO143" s="25">
        <v>4296</v>
      </c>
      <c r="BP143" s="25">
        <f>BE143*AV143</f>
        <v>0</v>
      </c>
      <c r="BQ143" s="25">
        <f>BE143*AX143</f>
        <v>0</v>
      </c>
      <c r="BR143" s="43">
        <f>30+83+790</f>
        <v>903</v>
      </c>
    </row>
    <row r="144" spans="1:70" s="6" customFormat="1" ht="41.25" customHeight="1">
      <c r="A144" s="18">
        <v>141</v>
      </c>
      <c r="B144" s="18" t="s">
        <v>66</v>
      </c>
      <c r="C144" s="54" t="s">
        <v>225</v>
      </c>
      <c r="D144" s="56" t="s">
        <v>50</v>
      </c>
      <c r="E144" s="22" t="s">
        <v>1158</v>
      </c>
      <c r="F144" s="52" t="s">
        <v>123</v>
      </c>
      <c r="G144" s="52" t="s">
        <v>123</v>
      </c>
      <c r="H144" s="22"/>
      <c r="I144" s="22"/>
      <c r="J144" s="22"/>
      <c r="K144" s="22"/>
      <c r="L144" s="22" t="s">
        <v>119</v>
      </c>
      <c r="M144" s="23"/>
      <c r="N144" s="22" t="s">
        <v>1161</v>
      </c>
      <c r="O144" s="23" t="s">
        <v>1162</v>
      </c>
      <c r="P144" s="18" t="s">
        <v>56</v>
      </c>
      <c r="Q144" s="72"/>
      <c r="R144" s="72"/>
      <c r="S144" s="25">
        <v>460</v>
      </c>
      <c r="T144" s="26"/>
      <c r="U144" s="26"/>
      <c r="V144" s="25">
        <v>460</v>
      </c>
      <c r="W144" s="26"/>
      <c r="X144" s="25">
        <v>276</v>
      </c>
      <c r="Y144" s="26">
        <f>T144+R144+Q144+U144+W144</f>
        <v>0</v>
      </c>
      <c r="Z144" s="27">
        <v>2300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>
        <f>SUM(AM144:AS144)</f>
        <v>0</v>
      </c>
      <c r="AM144" s="26"/>
      <c r="AN144" s="26"/>
      <c r="AO144" s="26"/>
      <c r="AP144" s="26"/>
      <c r="AQ144" s="26"/>
      <c r="AR144" s="26"/>
      <c r="AS144" s="26"/>
      <c r="AT144" s="28"/>
      <c r="AU144" s="28"/>
      <c r="AV144" s="26"/>
      <c r="AW144" s="26"/>
      <c r="AX144" s="28"/>
      <c r="AY144" s="72">
        <f>Y144-AV144-AX144-AW144</f>
        <v>0</v>
      </c>
      <c r="AZ144" s="68"/>
      <c r="BA144" s="26">
        <f>AL144+AG144+AA144+AT144</f>
        <v>0</v>
      </c>
      <c r="BB144" s="30">
        <f>BD144+AO144+AG144</f>
        <v>0</v>
      </c>
      <c r="BC144" s="30">
        <f>BD144+AS144</f>
        <v>0</v>
      </c>
      <c r="BD144" s="30">
        <f>IF(BA144&gt;0,Y144-BA144,BA144)</f>
        <v>0</v>
      </c>
      <c r="BE144" s="31">
        <v>20</v>
      </c>
      <c r="BF144" s="30" t="s">
        <v>76</v>
      </c>
      <c r="BG144" s="31">
        <f>BE144*Q144</f>
        <v>0</v>
      </c>
      <c r="BH144" s="31">
        <f>BE144*R144*0.4</f>
        <v>0</v>
      </c>
      <c r="BI144" s="31">
        <f>BE144*T144</f>
        <v>0</v>
      </c>
      <c r="BJ144" s="31">
        <f>BE144*U144*0.4</f>
        <v>0</v>
      </c>
      <c r="BK144" s="32">
        <f>Y144*BE144</f>
        <v>0</v>
      </c>
      <c r="BL144" s="25">
        <v>276</v>
      </c>
      <c r="BM144" s="25">
        <v>276</v>
      </c>
      <c r="BN144" s="25">
        <v>276</v>
      </c>
      <c r="BO144" s="25">
        <v>276</v>
      </c>
      <c r="BP144" s="25">
        <f>BE144*AV144</f>
        <v>0</v>
      </c>
      <c r="BQ144" s="25">
        <f>BE144*AX144</f>
        <v>0</v>
      </c>
      <c r="BR144" s="28"/>
    </row>
    <row r="145" spans="1:70" s="6" customFormat="1" ht="41.25" customHeight="1">
      <c r="A145" s="18">
        <v>142</v>
      </c>
      <c r="B145" s="50" t="s">
        <v>66</v>
      </c>
      <c r="C145" s="44" t="s">
        <v>139</v>
      </c>
      <c r="D145" s="56" t="s">
        <v>50</v>
      </c>
      <c r="E145" s="50" t="s">
        <v>1134</v>
      </c>
      <c r="F145" s="52" t="s">
        <v>123</v>
      </c>
      <c r="G145" s="52" t="s">
        <v>123</v>
      </c>
      <c r="H145" s="50">
        <v>300</v>
      </c>
      <c r="I145" s="50">
        <v>500</v>
      </c>
      <c r="J145" s="50"/>
      <c r="K145" s="50"/>
      <c r="L145" s="50"/>
      <c r="M145" s="23"/>
      <c r="N145" s="22" t="s">
        <v>1163</v>
      </c>
      <c r="O145" s="23" t="s">
        <v>1164</v>
      </c>
      <c r="P145" s="18" t="s">
        <v>56</v>
      </c>
      <c r="Q145" s="29">
        <v>460</v>
      </c>
      <c r="R145" s="72"/>
      <c r="S145" s="25">
        <v>460</v>
      </c>
      <c r="T145" s="29">
        <v>290</v>
      </c>
      <c r="U145" s="26"/>
      <c r="V145" s="25">
        <v>460</v>
      </c>
      <c r="W145" s="29">
        <v>901</v>
      </c>
      <c r="X145" s="25">
        <v>276</v>
      </c>
      <c r="Y145" s="29">
        <f>T145+R145+Q145+U145+W145</f>
        <v>1651</v>
      </c>
      <c r="Z145" s="27">
        <v>2300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>
        <f>SUM(AM145:AS145)</f>
        <v>0</v>
      </c>
      <c r="AM145" s="26"/>
      <c r="AN145" s="26"/>
      <c r="AO145" s="26"/>
      <c r="AP145" s="26"/>
      <c r="AQ145" s="26"/>
      <c r="AR145" s="26"/>
      <c r="AS145" s="26"/>
      <c r="AT145" s="70">
        <f>47+37</f>
        <v>84</v>
      </c>
      <c r="AU145" s="70">
        <v>47</v>
      </c>
      <c r="AV145" s="26"/>
      <c r="AW145" s="26"/>
      <c r="AX145" s="70">
        <f>37+14</f>
        <v>51</v>
      </c>
      <c r="AY145" s="29">
        <f>Y145-AV145-AX145-AW145</f>
        <v>1600</v>
      </c>
      <c r="AZ145" s="29">
        <f>'Layout for shadhous 1&amp;2'!L56</f>
        <v>1600</v>
      </c>
      <c r="BA145" s="26">
        <f>AL145+AG145+AA145+AT145</f>
        <v>84</v>
      </c>
      <c r="BB145" s="30">
        <f>BD145+AO145+AG145</f>
        <v>1567</v>
      </c>
      <c r="BC145" s="30">
        <f>BD145+AS145</f>
        <v>1567</v>
      </c>
      <c r="BD145" s="30">
        <f>IF(BA145&gt;0,Y145-BA145,BA145)</f>
        <v>1567</v>
      </c>
      <c r="BE145" s="31">
        <v>23</v>
      </c>
      <c r="BF145" s="30" t="s">
        <v>76</v>
      </c>
      <c r="BG145" s="31">
        <f>BE145*Q145</f>
        <v>10580</v>
      </c>
      <c r="BH145" s="31">
        <f>BE145*R145*0.4</f>
        <v>0</v>
      </c>
      <c r="BI145" s="142">
        <f>BE145*T145</f>
        <v>6670</v>
      </c>
      <c r="BJ145" s="142">
        <f>BE145*U145*0.4</f>
        <v>0</v>
      </c>
      <c r="BK145" s="32">
        <f>Y145*BE145</f>
        <v>37973</v>
      </c>
      <c r="BL145" s="25">
        <v>276</v>
      </c>
      <c r="BM145" s="25">
        <v>276</v>
      </c>
      <c r="BN145" s="25">
        <v>276</v>
      </c>
      <c r="BO145" s="25">
        <v>276</v>
      </c>
      <c r="BP145" s="25">
        <f>BE145*AV145</f>
        <v>0</v>
      </c>
      <c r="BQ145" s="25">
        <f>BE145*AX145</f>
        <v>1173</v>
      </c>
      <c r="BR145" s="28"/>
    </row>
    <row r="146" spans="1:70" s="6" customFormat="1" ht="41.25" customHeight="1">
      <c r="A146" s="18">
        <v>143</v>
      </c>
      <c r="B146" s="50" t="s">
        <v>48</v>
      </c>
      <c r="C146" s="44" t="s">
        <v>81</v>
      </c>
      <c r="D146" s="36" t="s">
        <v>68</v>
      </c>
      <c r="E146" s="50" t="s">
        <v>1165</v>
      </c>
      <c r="F146" s="36" t="s">
        <v>70</v>
      </c>
      <c r="G146" s="36" t="s">
        <v>70</v>
      </c>
      <c r="H146" s="50"/>
      <c r="I146" s="37" t="s">
        <v>104</v>
      </c>
      <c r="J146" s="37"/>
      <c r="K146" s="37"/>
      <c r="L146" s="22"/>
      <c r="M146" s="23" t="s">
        <v>1166</v>
      </c>
      <c r="N146" s="22" t="s">
        <v>1167</v>
      </c>
      <c r="O146" s="23" t="s">
        <v>1168</v>
      </c>
      <c r="P146" s="18" t="s">
        <v>56</v>
      </c>
      <c r="Q146" s="29">
        <v>56</v>
      </c>
      <c r="R146" s="72"/>
      <c r="S146" s="25">
        <v>56</v>
      </c>
      <c r="T146" s="63">
        <v>10</v>
      </c>
      <c r="U146" s="26"/>
      <c r="V146" s="25">
        <v>34</v>
      </c>
      <c r="W146" s="26"/>
      <c r="X146" s="25">
        <v>34</v>
      </c>
      <c r="Y146" s="29">
        <f>T146+R146+Q146+U146+W146</f>
        <v>66</v>
      </c>
      <c r="Z146" s="27">
        <v>280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41">
        <f>SUM(AM146:AS146)</f>
        <v>25</v>
      </c>
      <c r="AM146" s="41"/>
      <c r="AN146" s="42"/>
      <c r="AO146" s="42">
        <v>25</v>
      </c>
      <c r="AP146" s="42"/>
      <c r="AQ146" s="42"/>
      <c r="AR146" s="42"/>
      <c r="AS146" s="42"/>
      <c r="AT146" s="43"/>
      <c r="AU146" s="43"/>
      <c r="AV146" s="26"/>
      <c r="AW146" s="26"/>
      <c r="AX146" s="43"/>
      <c r="AY146" s="29">
        <f>Y146-AV146-AX146-AW146</f>
        <v>66</v>
      </c>
      <c r="AZ146" s="29">
        <f>'Layout for trees right'!M25</f>
        <v>66</v>
      </c>
      <c r="BA146" s="26">
        <f>AL146+AG146+AA146+AT146</f>
        <v>25</v>
      </c>
      <c r="BB146" s="30">
        <f>BD146+AO146+AG146</f>
        <v>66</v>
      </c>
      <c r="BC146" s="30">
        <f>BD146+AS146</f>
        <v>41</v>
      </c>
      <c r="BD146" s="30">
        <f>IF(BA146&gt;0,Y146-BA146,BA146)</f>
        <v>41</v>
      </c>
      <c r="BE146" s="31">
        <v>155</v>
      </c>
      <c r="BF146" s="30" t="s">
        <v>76</v>
      </c>
      <c r="BG146" s="31">
        <f>BE146*Q146</f>
        <v>8680</v>
      </c>
      <c r="BH146" s="31">
        <f>BE146*R146*0.4</f>
        <v>0</v>
      </c>
      <c r="BI146" s="31">
        <f>BE146*T146</f>
        <v>1550</v>
      </c>
      <c r="BJ146" s="31">
        <f>BE146*U146*0.4</f>
        <v>0</v>
      </c>
      <c r="BK146" s="32">
        <f>Y146*BE146</f>
        <v>10230</v>
      </c>
      <c r="BL146" s="25">
        <v>34</v>
      </c>
      <c r="BM146" s="25">
        <v>34</v>
      </c>
      <c r="BN146" s="25">
        <v>34</v>
      </c>
      <c r="BO146" s="25">
        <v>54</v>
      </c>
      <c r="BP146" s="25">
        <f>BE146*AV146</f>
        <v>0</v>
      </c>
      <c r="BQ146" s="25">
        <f>BE146*AX146</f>
        <v>0</v>
      </c>
      <c r="BR146" s="43"/>
    </row>
    <row r="147" spans="1:70" s="6" customFormat="1" ht="41.25" customHeight="1">
      <c r="A147" s="18">
        <v>144</v>
      </c>
      <c r="B147" s="18" t="s">
        <v>191</v>
      </c>
      <c r="C147" s="18" t="s">
        <v>426</v>
      </c>
      <c r="D147" s="36" t="s">
        <v>68</v>
      </c>
      <c r="E147" s="22" t="s">
        <v>1177</v>
      </c>
      <c r="F147" s="36" t="s">
        <v>70</v>
      </c>
      <c r="G147" s="36" t="s">
        <v>70</v>
      </c>
      <c r="H147" s="22"/>
      <c r="I147" s="37" t="s">
        <v>104</v>
      </c>
      <c r="J147" s="37"/>
      <c r="K147" s="37"/>
      <c r="L147" s="22"/>
      <c r="M147" s="23" t="s">
        <v>1178</v>
      </c>
      <c r="N147" s="22" t="s">
        <v>1179</v>
      </c>
      <c r="O147" s="23" t="s">
        <v>1180</v>
      </c>
      <c r="P147" s="38" t="s">
        <v>56</v>
      </c>
      <c r="Q147" s="63">
        <v>56</v>
      </c>
      <c r="R147" s="81"/>
      <c r="S147" s="40">
        <v>56</v>
      </c>
      <c r="T147" s="63">
        <v>34</v>
      </c>
      <c r="U147" s="26"/>
      <c r="V147" s="25">
        <v>34</v>
      </c>
      <c r="W147" s="29">
        <v>28</v>
      </c>
      <c r="X147" s="25">
        <v>34</v>
      </c>
      <c r="Y147" s="29">
        <f>T147+R147+Q147+U147+W147</f>
        <v>118</v>
      </c>
      <c r="Z147" s="27">
        <v>280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>
        <f>SUM(AM147:AS147)</f>
        <v>0</v>
      </c>
      <c r="AM147" s="26"/>
      <c r="AN147" s="26"/>
      <c r="AO147" s="26"/>
      <c r="AP147" s="26"/>
      <c r="AQ147" s="26"/>
      <c r="AR147" s="26"/>
      <c r="AS147" s="26"/>
      <c r="AT147" s="28"/>
      <c r="AU147" s="28"/>
      <c r="AV147" s="26"/>
      <c r="AW147" s="26"/>
      <c r="AX147" s="28"/>
      <c r="AY147" s="29">
        <f>Y147-AV147-AX147-AW147</f>
        <v>118</v>
      </c>
      <c r="AZ147" s="29">
        <f>'Layout for trees right'!M27</f>
        <v>118</v>
      </c>
      <c r="BA147" s="26">
        <f>AL147+AG147+AA147+AT147</f>
        <v>0</v>
      </c>
      <c r="BB147" s="30">
        <f>BD147+AO147+AG147</f>
        <v>0</v>
      </c>
      <c r="BC147" s="30">
        <f>BD147+AS147</f>
        <v>0</v>
      </c>
      <c r="BD147" s="30">
        <f>IF(BA147&gt;0,Y147-BA147,BA147)</f>
        <v>0</v>
      </c>
      <c r="BE147" s="31">
        <v>154</v>
      </c>
      <c r="BF147" s="30" t="s">
        <v>76</v>
      </c>
      <c r="BG147" s="31">
        <f>BE147*Q147</f>
        <v>8624</v>
      </c>
      <c r="BH147" s="31">
        <f>BE147*R147*0.4</f>
        <v>0</v>
      </c>
      <c r="BI147" s="142">
        <f>BE147*T147</f>
        <v>5236</v>
      </c>
      <c r="BJ147" s="142">
        <f>BE147*U147*0.4</f>
        <v>0</v>
      </c>
      <c r="BK147" s="32">
        <f>Y147*BE147</f>
        <v>18172</v>
      </c>
      <c r="BL147" s="25">
        <v>34</v>
      </c>
      <c r="BM147" s="25">
        <v>34</v>
      </c>
      <c r="BN147" s="25">
        <v>34</v>
      </c>
      <c r="BO147" s="25">
        <v>54</v>
      </c>
      <c r="BP147" s="25">
        <f>BE147*AV147</f>
        <v>0</v>
      </c>
      <c r="BQ147" s="25">
        <f>BE147*AX147</f>
        <v>0</v>
      </c>
      <c r="BR147" s="28"/>
    </row>
    <row r="148" spans="1:70" s="6" customFormat="1" ht="41.25" customHeight="1">
      <c r="A148" s="18">
        <v>145</v>
      </c>
      <c r="B148" s="50" t="s">
        <v>66</v>
      </c>
      <c r="C148" s="44" t="s">
        <v>139</v>
      </c>
      <c r="D148" s="56" t="s">
        <v>50</v>
      </c>
      <c r="E148" s="50" t="s">
        <v>1181</v>
      </c>
      <c r="F148" s="52" t="s">
        <v>123</v>
      </c>
      <c r="G148" s="52" t="s">
        <v>123</v>
      </c>
      <c r="H148" s="50">
        <v>200</v>
      </c>
      <c r="I148" s="50">
        <v>300</v>
      </c>
      <c r="J148" s="50"/>
      <c r="K148" s="50"/>
      <c r="L148" s="50"/>
      <c r="M148" s="23"/>
      <c r="N148" s="22" t="s">
        <v>1182</v>
      </c>
      <c r="O148" s="23" t="s">
        <v>1183</v>
      </c>
      <c r="P148" s="18" t="s">
        <v>56</v>
      </c>
      <c r="Q148" s="29">
        <v>4000</v>
      </c>
      <c r="R148" s="29">
        <v>12120</v>
      </c>
      <c r="S148" s="25">
        <v>16120</v>
      </c>
      <c r="T148" s="63">
        <f>846+350</f>
        <v>1196</v>
      </c>
      <c r="U148" s="26"/>
      <c r="V148" s="25">
        <v>16120</v>
      </c>
      <c r="W148" s="26"/>
      <c r="X148" s="25">
        <v>9672</v>
      </c>
      <c r="Y148" s="29">
        <f>T148+R148+Q148+U148+W148</f>
        <v>17316</v>
      </c>
      <c r="Z148" s="27">
        <v>80600</v>
      </c>
      <c r="AA148" s="64">
        <f>SUBTOTAL(9,AB148:AF148)</f>
        <v>160</v>
      </c>
      <c r="AB148" s="64">
        <v>107</v>
      </c>
      <c r="AC148" s="26"/>
      <c r="AD148" s="26"/>
      <c r="AE148" s="26"/>
      <c r="AF148" s="64">
        <v>53</v>
      </c>
      <c r="AG148" s="26"/>
      <c r="AH148" s="26"/>
      <c r="AI148" s="26"/>
      <c r="AJ148" s="26"/>
      <c r="AK148" s="26"/>
      <c r="AL148" s="41">
        <f>SUM(AM148:AS148)</f>
        <v>4018</v>
      </c>
      <c r="AM148" s="41">
        <v>3359</v>
      </c>
      <c r="AN148" s="49">
        <v>0</v>
      </c>
      <c r="AO148" s="49">
        <v>659</v>
      </c>
      <c r="AP148" s="49"/>
      <c r="AQ148" s="49"/>
      <c r="AR148" s="49"/>
      <c r="AS148" s="49"/>
      <c r="AT148" s="43"/>
      <c r="AU148" s="43"/>
      <c r="AV148" s="41">
        <f>422+2937</f>
        <v>3359</v>
      </c>
      <c r="AW148" s="64">
        <v>107</v>
      </c>
      <c r="AX148" s="43"/>
      <c r="AY148" s="29">
        <f>Y148-AV148-AX148-AW148</f>
        <v>13850</v>
      </c>
      <c r="AZ148" s="29">
        <f ca="1">'Layout for shadhous 1&amp;2'!L60</f>
        <v>13850</v>
      </c>
      <c r="BA148" s="26">
        <f>AL148+AG148+AA148+AT148</f>
        <v>4178</v>
      </c>
      <c r="BB148" s="30">
        <f>BD148+AO148+AG148</f>
        <v>13797</v>
      </c>
      <c r="BC148" s="30">
        <f>BD148+AS148</f>
        <v>13138</v>
      </c>
      <c r="BD148" s="30">
        <f>IF(BA148&gt;0,Y148-BA148,BA148)</f>
        <v>13138</v>
      </c>
      <c r="BE148" s="31">
        <v>22</v>
      </c>
      <c r="BF148" s="30" t="s">
        <v>76</v>
      </c>
      <c r="BG148" s="31">
        <f>BE148*Q148</f>
        <v>88000</v>
      </c>
      <c r="BH148" s="31">
        <f>BE148*R148*0.4</f>
        <v>106656</v>
      </c>
      <c r="BI148" s="142">
        <f>BE148*T148</f>
        <v>26312</v>
      </c>
      <c r="BJ148" s="142">
        <f>BE148*U148*0.4</f>
        <v>0</v>
      </c>
      <c r="BK148" s="32">
        <f>Y148*BE148</f>
        <v>380952</v>
      </c>
      <c r="BL148" s="25">
        <v>9672</v>
      </c>
      <c r="BM148" s="25">
        <v>9672</v>
      </c>
      <c r="BN148" s="25">
        <v>9672</v>
      </c>
      <c r="BO148" s="25">
        <v>9672</v>
      </c>
      <c r="BP148" s="25">
        <f>BE148*AV148</f>
        <v>73898</v>
      </c>
      <c r="BQ148" s="25">
        <f>BE148*AX148</f>
        <v>0</v>
      </c>
      <c r="BR148" s="43">
        <v>305</v>
      </c>
    </row>
    <row r="149" spans="1:70" s="6" customFormat="1" ht="41.25" customHeight="1">
      <c r="A149" s="18">
        <v>146</v>
      </c>
      <c r="B149" s="18" t="s">
        <v>58</v>
      </c>
      <c r="C149" s="18" t="s">
        <v>259</v>
      </c>
      <c r="D149" s="21" t="s">
        <v>50</v>
      </c>
      <c r="E149" s="18" t="s">
        <v>1125</v>
      </c>
      <c r="F149" s="52" t="s">
        <v>123</v>
      </c>
      <c r="G149" s="52" t="s">
        <v>123</v>
      </c>
      <c r="H149" s="22">
        <v>120</v>
      </c>
      <c r="I149" s="22">
        <v>100</v>
      </c>
      <c r="J149" s="22"/>
      <c r="K149" s="22"/>
      <c r="L149" s="22"/>
      <c r="M149" s="23"/>
      <c r="N149" s="22" t="s">
        <v>1185</v>
      </c>
      <c r="O149" s="23" t="s">
        <v>1186</v>
      </c>
      <c r="P149" s="18" t="s">
        <v>56</v>
      </c>
      <c r="Q149" s="29">
        <v>260</v>
      </c>
      <c r="R149" s="81"/>
      <c r="S149" s="25">
        <v>260</v>
      </c>
      <c r="T149" s="29">
        <v>200</v>
      </c>
      <c r="U149" s="26"/>
      <c r="V149" s="25">
        <v>260</v>
      </c>
      <c r="W149" s="29">
        <v>100</v>
      </c>
      <c r="X149" s="25">
        <v>156</v>
      </c>
      <c r="Y149" s="29">
        <f>T149+R149+Q149+U149+W149</f>
        <v>560</v>
      </c>
      <c r="Z149" s="27">
        <v>1300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>
        <f>SUM(AM149:AS149)</f>
        <v>0</v>
      </c>
      <c r="AM149" s="26"/>
      <c r="AN149" s="26"/>
      <c r="AO149" s="26"/>
      <c r="AP149" s="26"/>
      <c r="AQ149" s="26"/>
      <c r="AR149" s="26"/>
      <c r="AS149" s="26"/>
      <c r="AT149" s="28"/>
      <c r="AU149" s="28"/>
      <c r="AV149" s="26"/>
      <c r="AW149" s="26"/>
      <c r="AX149" s="28"/>
      <c r="AY149" s="29">
        <f>Y149-AV149-AX149-AW149</f>
        <v>560</v>
      </c>
      <c r="AZ149" s="29"/>
      <c r="BA149" s="26">
        <f>AL149+AG149+AA149+AT149</f>
        <v>0</v>
      </c>
      <c r="BB149" s="30">
        <f>BD149+AO149+AG149</f>
        <v>0</v>
      </c>
      <c r="BC149" s="30">
        <f>BD149+AS149</f>
        <v>0</v>
      </c>
      <c r="BD149" s="30">
        <f>IF(BA149&gt;0,Y149-BA149,BA149)</f>
        <v>0</v>
      </c>
      <c r="BE149" s="31">
        <v>7</v>
      </c>
      <c r="BF149" s="30" t="s">
        <v>76</v>
      </c>
      <c r="BG149" s="31">
        <f>BE149*Q149</f>
        <v>1820</v>
      </c>
      <c r="BH149" s="31">
        <f>BE149*R149*0.4</f>
        <v>0</v>
      </c>
      <c r="BI149" s="142">
        <f>BE149*T149</f>
        <v>1400</v>
      </c>
      <c r="BJ149" s="142">
        <f>BE149*U149*0.4</f>
        <v>0</v>
      </c>
      <c r="BK149" s="32">
        <f>Y149*BE149</f>
        <v>3920</v>
      </c>
      <c r="BL149" s="25">
        <v>156</v>
      </c>
      <c r="BM149" s="25">
        <v>156</v>
      </c>
      <c r="BN149" s="25">
        <v>156</v>
      </c>
      <c r="BO149" s="25">
        <v>156</v>
      </c>
      <c r="BP149" s="25">
        <f>BE149*AV149</f>
        <v>0</v>
      </c>
      <c r="BQ149" s="25">
        <f>BE149*AX149</f>
        <v>0</v>
      </c>
      <c r="BR149" s="28"/>
    </row>
    <row r="150" spans="1:70" s="6" customFormat="1" ht="41.25" customHeight="1">
      <c r="A150" s="18">
        <v>147</v>
      </c>
      <c r="B150" s="18" t="s">
        <v>191</v>
      </c>
      <c r="C150" s="18" t="s">
        <v>192</v>
      </c>
      <c r="D150" s="21" t="s">
        <v>50</v>
      </c>
      <c r="E150" s="22" t="s">
        <v>1104</v>
      </c>
      <c r="F150" s="52" t="s">
        <v>123</v>
      </c>
      <c r="G150" s="52" t="s">
        <v>123</v>
      </c>
      <c r="H150" s="22">
        <v>120</v>
      </c>
      <c r="I150" s="22">
        <v>100</v>
      </c>
      <c r="J150" s="22"/>
      <c r="K150" s="22"/>
      <c r="L150" s="22"/>
      <c r="M150" s="23"/>
      <c r="N150" s="22" t="s">
        <v>1187</v>
      </c>
      <c r="O150" s="23" t="s">
        <v>1188</v>
      </c>
      <c r="P150" s="18" t="s">
        <v>56</v>
      </c>
      <c r="Q150" s="29">
        <v>260</v>
      </c>
      <c r="R150" s="81"/>
      <c r="S150" s="25">
        <v>260</v>
      </c>
      <c r="T150" s="29">
        <v>140</v>
      </c>
      <c r="U150" s="26"/>
      <c r="V150" s="25">
        <v>260</v>
      </c>
      <c r="W150" s="26"/>
      <c r="X150" s="25">
        <v>156</v>
      </c>
      <c r="Y150" s="29">
        <f>T150+R150+Q150+U150+W150</f>
        <v>400</v>
      </c>
      <c r="Z150" s="27">
        <v>1300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>
        <f>SUM(AM150:AS150)</f>
        <v>0</v>
      </c>
      <c r="AM150" s="26"/>
      <c r="AN150" s="26"/>
      <c r="AO150" s="26"/>
      <c r="AP150" s="26"/>
      <c r="AQ150" s="26"/>
      <c r="AR150" s="26"/>
      <c r="AS150" s="26"/>
      <c r="AT150" s="28"/>
      <c r="AU150" s="28"/>
      <c r="AV150" s="26"/>
      <c r="AW150" s="26"/>
      <c r="AX150" s="28"/>
      <c r="AY150" s="29">
        <f>Y150-AV150-AX150-AW150</f>
        <v>400</v>
      </c>
      <c r="AZ150" s="29">
        <f ca="1">'Layout for shadhous 1&amp;2'!L61</f>
        <v>400</v>
      </c>
      <c r="BA150" s="26">
        <f>AL150+AG150+AA150+AT150</f>
        <v>0</v>
      </c>
      <c r="BB150" s="30">
        <f>BD150+AO150+AG150</f>
        <v>0</v>
      </c>
      <c r="BC150" s="30">
        <f>BD150+AS150</f>
        <v>0</v>
      </c>
      <c r="BD150" s="30">
        <f>IF(BA150&gt;0,Y150-BA150,BA150)</f>
        <v>0</v>
      </c>
      <c r="BE150" s="31">
        <v>8</v>
      </c>
      <c r="BF150" s="30" t="s">
        <v>76</v>
      </c>
      <c r="BG150" s="31">
        <f>BE150*Q150</f>
        <v>2080</v>
      </c>
      <c r="BH150" s="31">
        <f>BE150*R150*0.4</f>
        <v>0</v>
      </c>
      <c r="BI150" s="142">
        <f>BE150*T150</f>
        <v>1120</v>
      </c>
      <c r="BJ150" s="142">
        <f>BE150*U150*0.4</f>
        <v>0</v>
      </c>
      <c r="BK150" s="32">
        <f>Y150*BE150</f>
        <v>3200</v>
      </c>
      <c r="BL150" s="25">
        <v>156</v>
      </c>
      <c r="BM150" s="25">
        <v>156</v>
      </c>
      <c r="BN150" s="25">
        <v>156</v>
      </c>
      <c r="BO150" s="25">
        <v>156</v>
      </c>
      <c r="BP150" s="25">
        <f>BE150*AV150</f>
        <v>0</v>
      </c>
      <c r="BQ150" s="25">
        <f>BE150*AX150</f>
        <v>0</v>
      </c>
      <c r="BR150" s="28"/>
    </row>
    <row r="151" spans="1:70" s="6" customFormat="1" ht="41.25" customHeight="1">
      <c r="A151" s="18">
        <v>148</v>
      </c>
      <c r="B151" s="18" t="s">
        <v>66</v>
      </c>
      <c r="C151" s="65" t="s">
        <v>225</v>
      </c>
      <c r="D151" s="56" t="s">
        <v>50</v>
      </c>
      <c r="E151" s="22" t="s">
        <v>1193</v>
      </c>
      <c r="F151" s="60" t="s">
        <v>155</v>
      </c>
      <c r="G151" s="52" t="s">
        <v>123</v>
      </c>
      <c r="H151" s="22"/>
      <c r="I151" s="22"/>
      <c r="J151" s="22"/>
      <c r="K151" s="22"/>
      <c r="L151" s="22"/>
      <c r="M151" s="23"/>
      <c r="N151" s="22" t="s">
        <v>1194</v>
      </c>
      <c r="O151" s="23" t="s">
        <v>1195</v>
      </c>
      <c r="P151" s="18" t="s">
        <v>56</v>
      </c>
      <c r="Q151" s="29">
        <v>1869</v>
      </c>
      <c r="R151" s="81"/>
      <c r="S151" s="25">
        <v>1880</v>
      </c>
      <c r="T151" s="26"/>
      <c r="U151" s="26"/>
      <c r="V151" s="25">
        <v>1880</v>
      </c>
      <c r="W151" s="26"/>
      <c r="X151" s="25">
        <v>1128</v>
      </c>
      <c r="Y151" s="53">
        <f>T151+R151+Q151+U151+W151</f>
        <v>1869</v>
      </c>
      <c r="Z151" s="27">
        <v>9400</v>
      </c>
      <c r="AA151" s="64">
        <f>SUBTOTAL(9,AB151:AF151)</f>
        <v>933</v>
      </c>
      <c r="AB151" s="26"/>
      <c r="AC151" s="64">
        <v>29</v>
      </c>
      <c r="AD151" s="64">
        <v>316</v>
      </c>
      <c r="AE151" s="64">
        <v>140</v>
      </c>
      <c r="AF151" s="64">
        <v>448</v>
      </c>
      <c r="AG151" s="26"/>
      <c r="AH151" s="26"/>
      <c r="AI151" s="26"/>
      <c r="AJ151" s="26"/>
      <c r="AK151" s="26"/>
      <c r="AL151" s="26">
        <f>SUM(AM151:AS151)</f>
        <v>0</v>
      </c>
      <c r="AM151" s="26"/>
      <c r="AN151" s="26"/>
      <c r="AO151" s="26"/>
      <c r="AP151" s="26"/>
      <c r="AQ151" s="26"/>
      <c r="AR151" s="26"/>
      <c r="AS151" s="26"/>
      <c r="AT151" s="28"/>
      <c r="AU151" s="28"/>
      <c r="AV151" s="26"/>
      <c r="AW151" s="64">
        <f>29+140</f>
        <v>169</v>
      </c>
      <c r="AX151" s="28"/>
      <c r="AY151" s="29">
        <f>Y151-AV151-AX151-AW151</f>
        <v>1700</v>
      </c>
      <c r="AZ151" s="29">
        <f ca="1">'Layout for shadhous 1&amp;2'!L64</f>
        <v>1700</v>
      </c>
      <c r="BA151" s="26">
        <f>AL151+AG151+AA151+AT151</f>
        <v>933</v>
      </c>
      <c r="BB151" s="30">
        <f>BD151+AO151+AG151</f>
        <v>936</v>
      </c>
      <c r="BC151" s="30">
        <f>BD151+AS151</f>
        <v>936</v>
      </c>
      <c r="BD151" s="30">
        <f>IF(BA151&gt;0,Y151-BA151,BA151)</f>
        <v>936</v>
      </c>
      <c r="BE151" s="31">
        <v>20</v>
      </c>
      <c r="BF151" s="30" t="s">
        <v>76</v>
      </c>
      <c r="BG151" s="31">
        <f>BE151*Q151</f>
        <v>37380</v>
      </c>
      <c r="BH151" s="31">
        <f>BE151*R151*0.4</f>
        <v>0</v>
      </c>
      <c r="BI151" s="142">
        <f>BE151*T151</f>
        <v>0</v>
      </c>
      <c r="BJ151" s="142">
        <f>BE151*U151*0.4</f>
        <v>0</v>
      </c>
      <c r="BK151" s="32">
        <f>Y151*BE151</f>
        <v>37380</v>
      </c>
      <c r="BL151" s="25">
        <v>1128</v>
      </c>
      <c r="BM151" s="25">
        <v>1128</v>
      </c>
      <c r="BN151" s="25">
        <v>1128</v>
      </c>
      <c r="BO151" s="25">
        <v>1128</v>
      </c>
      <c r="BP151" s="25">
        <f>BE151*AV151</f>
        <v>0</v>
      </c>
      <c r="BQ151" s="25">
        <f>BE151*AX151</f>
        <v>0</v>
      </c>
      <c r="BR151" s="28"/>
    </row>
    <row r="152" spans="1:70" s="6" customFormat="1" ht="41.25" customHeight="1">
      <c r="A152" s="18">
        <v>149</v>
      </c>
      <c r="B152" s="18" t="s">
        <v>48</v>
      </c>
      <c r="C152" s="18" t="s">
        <v>49</v>
      </c>
      <c r="D152" s="19" t="s">
        <v>50</v>
      </c>
      <c r="E152" s="22" t="s">
        <v>1137</v>
      </c>
      <c r="F152" s="52" t="s">
        <v>123</v>
      </c>
      <c r="G152" s="21" t="s">
        <v>52</v>
      </c>
      <c r="H152" s="22">
        <v>120</v>
      </c>
      <c r="I152" s="22">
        <v>100</v>
      </c>
      <c r="J152" s="22"/>
      <c r="K152" s="22"/>
      <c r="L152" s="22" t="s">
        <v>52</v>
      </c>
      <c r="M152" s="23"/>
      <c r="N152" s="22" t="s">
        <v>1199</v>
      </c>
      <c r="O152" s="23" t="s">
        <v>1200</v>
      </c>
      <c r="P152" s="18" t="s">
        <v>56</v>
      </c>
      <c r="Q152" s="72"/>
      <c r="R152" s="72"/>
      <c r="S152" s="25">
        <v>260</v>
      </c>
      <c r="T152" s="26"/>
      <c r="U152" s="26"/>
      <c r="V152" s="25">
        <v>260</v>
      </c>
      <c r="W152" s="26"/>
      <c r="X152" s="25">
        <v>156</v>
      </c>
      <c r="Y152" s="26">
        <f>T152+R152+Q152+U152+W152</f>
        <v>0</v>
      </c>
      <c r="Z152" s="27">
        <v>1300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>
        <f>SUM(AM152:AS152)</f>
        <v>0</v>
      </c>
      <c r="AM152" s="26"/>
      <c r="AN152" s="26"/>
      <c r="AO152" s="26"/>
      <c r="AP152" s="26"/>
      <c r="AQ152" s="26"/>
      <c r="AR152" s="26"/>
      <c r="AS152" s="26"/>
      <c r="AT152" s="28"/>
      <c r="AU152" s="28"/>
      <c r="AV152" s="26"/>
      <c r="AW152" s="26"/>
      <c r="AX152" s="28"/>
      <c r="AY152" s="72">
        <f>Y152-AV152-AX152-AW152</f>
        <v>0</v>
      </c>
      <c r="AZ152" s="68"/>
      <c r="BA152" s="26">
        <f>AL152+AG152+AA152+AT152</f>
        <v>0</v>
      </c>
      <c r="BB152" s="30">
        <f>BD152+AO152+AG152</f>
        <v>0</v>
      </c>
      <c r="BC152" s="30">
        <f>BD152+AS152</f>
        <v>0</v>
      </c>
      <c r="BD152" s="30">
        <f>IF(BA152&gt;0,Y152-BA152,BA152)</f>
        <v>0</v>
      </c>
      <c r="BE152" s="31">
        <v>7</v>
      </c>
      <c r="BF152" s="30" t="s">
        <v>76</v>
      </c>
      <c r="BG152" s="31">
        <f>BE152*Q152</f>
        <v>0</v>
      </c>
      <c r="BH152" s="31">
        <f>BE152*R152*0.4</f>
        <v>0</v>
      </c>
      <c r="BI152" s="31">
        <f>BE152*T152</f>
        <v>0</v>
      </c>
      <c r="BJ152" s="31">
        <f>BE152*U152*0.4</f>
        <v>0</v>
      </c>
      <c r="BK152" s="32">
        <f>Y152*BE152</f>
        <v>0</v>
      </c>
      <c r="BL152" s="25">
        <v>156</v>
      </c>
      <c r="BM152" s="25">
        <v>156</v>
      </c>
      <c r="BN152" s="25">
        <v>156</v>
      </c>
      <c r="BO152" s="25">
        <v>156</v>
      </c>
      <c r="BP152" s="25">
        <f>BE152*AV152</f>
        <v>0</v>
      </c>
      <c r="BQ152" s="25">
        <f>BE152*AX152</f>
        <v>0</v>
      </c>
      <c r="BR152" s="28"/>
    </row>
    <row r="153" spans="1:70" s="6" customFormat="1" ht="41.25" customHeight="1">
      <c r="A153" s="18">
        <v>150</v>
      </c>
      <c r="B153" s="18" t="s">
        <v>191</v>
      </c>
      <c r="C153" s="18" t="s">
        <v>192</v>
      </c>
      <c r="D153" s="21" t="s">
        <v>50</v>
      </c>
      <c r="E153" s="22" t="s">
        <v>1201</v>
      </c>
      <c r="F153" s="52" t="s">
        <v>123</v>
      </c>
      <c r="G153" s="21" t="s">
        <v>52</v>
      </c>
      <c r="H153" s="22">
        <v>20</v>
      </c>
      <c r="I153" s="22"/>
      <c r="J153" s="22"/>
      <c r="K153" s="22"/>
      <c r="L153" s="22" t="s">
        <v>52</v>
      </c>
      <c r="M153" s="23"/>
      <c r="N153" s="22" t="s">
        <v>1202</v>
      </c>
      <c r="O153" s="23" t="s">
        <v>1203</v>
      </c>
      <c r="P153" s="18" t="s">
        <v>56</v>
      </c>
      <c r="Q153" s="29">
        <v>100</v>
      </c>
      <c r="R153" s="72"/>
      <c r="S153" s="25">
        <v>260</v>
      </c>
      <c r="T153" s="26"/>
      <c r="U153" s="26"/>
      <c r="V153" s="25">
        <v>260</v>
      </c>
      <c r="W153" s="26"/>
      <c r="X153" s="25">
        <v>156</v>
      </c>
      <c r="Y153" s="29">
        <f>T153+R153+Q153+U153+W153</f>
        <v>100</v>
      </c>
      <c r="Z153" s="27">
        <v>1300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>
        <f>SUM(AM153:AS153)</f>
        <v>0</v>
      </c>
      <c r="AM153" s="26"/>
      <c r="AN153" s="26"/>
      <c r="AO153" s="26"/>
      <c r="AP153" s="26"/>
      <c r="AQ153" s="26"/>
      <c r="AR153" s="26"/>
      <c r="AS153" s="26"/>
      <c r="AT153" s="28"/>
      <c r="AU153" s="28"/>
      <c r="AV153" s="26"/>
      <c r="AW153" s="26"/>
      <c r="AX153" s="28"/>
      <c r="AY153" s="29">
        <f>Y153-AV153-AX153-AW153</f>
        <v>100</v>
      </c>
      <c r="AZ153" s="29"/>
      <c r="BA153" s="26">
        <f>AL153+AG153+AA153+AT153</f>
        <v>0</v>
      </c>
      <c r="BB153" s="30">
        <f>BD153+AO153+AG153</f>
        <v>0</v>
      </c>
      <c r="BC153" s="30">
        <f>BD153+AS153</f>
        <v>0</v>
      </c>
      <c r="BD153" s="30">
        <f>IF(BA153&gt;0,Y153-BA153,BA153)</f>
        <v>0</v>
      </c>
      <c r="BE153" s="31">
        <v>8</v>
      </c>
      <c r="BF153" s="30" t="s">
        <v>76</v>
      </c>
      <c r="BG153" s="31">
        <f>BE153*Q153</f>
        <v>800</v>
      </c>
      <c r="BH153" s="31">
        <f>BE153*R153*0.4</f>
        <v>0</v>
      </c>
      <c r="BI153" s="142">
        <f>BE153*T153</f>
        <v>0</v>
      </c>
      <c r="BJ153" s="142">
        <f>BE153*U153*0.4</f>
        <v>0</v>
      </c>
      <c r="BK153" s="32">
        <f>Y153*BE153</f>
        <v>800</v>
      </c>
      <c r="BL153" s="25">
        <v>156</v>
      </c>
      <c r="BM153" s="25">
        <v>156</v>
      </c>
      <c r="BN153" s="25">
        <v>156</v>
      </c>
      <c r="BO153" s="25">
        <v>156</v>
      </c>
      <c r="BP153" s="25">
        <f>BE153*AV153</f>
        <v>0</v>
      </c>
      <c r="BQ153" s="25">
        <f>BE153*AX153</f>
        <v>0</v>
      </c>
      <c r="BR153" s="28"/>
    </row>
    <row r="154" spans="1:70" s="6" customFormat="1" ht="41.25" customHeight="1">
      <c r="A154" s="18">
        <v>151</v>
      </c>
      <c r="B154" s="18" t="s">
        <v>191</v>
      </c>
      <c r="C154" s="18" t="s">
        <v>192</v>
      </c>
      <c r="D154" s="21" t="s">
        <v>50</v>
      </c>
      <c r="E154" s="22" t="s">
        <v>1201</v>
      </c>
      <c r="F154" s="52" t="s">
        <v>123</v>
      </c>
      <c r="G154" s="21" t="s">
        <v>52</v>
      </c>
      <c r="H154" s="22">
        <v>120</v>
      </c>
      <c r="I154" s="22">
        <v>200</v>
      </c>
      <c r="J154" s="22"/>
      <c r="K154" s="22"/>
      <c r="L154" s="22" t="s">
        <v>52</v>
      </c>
      <c r="M154" s="23"/>
      <c r="N154" s="22" t="s">
        <v>1204</v>
      </c>
      <c r="O154" s="23" t="s">
        <v>1200</v>
      </c>
      <c r="P154" s="18" t="s">
        <v>56</v>
      </c>
      <c r="Q154" s="29">
        <f>2424+476</f>
        <v>2900</v>
      </c>
      <c r="R154" s="72"/>
      <c r="S154" s="25">
        <v>260</v>
      </c>
      <c r="T154" s="26"/>
      <c r="U154" s="26"/>
      <c r="V154" s="25">
        <v>260</v>
      </c>
      <c r="W154" s="26"/>
      <c r="X154" s="25">
        <v>156</v>
      </c>
      <c r="Y154" s="29">
        <f>T154+R154+Q154+U154+W154</f>
        <v>2900</v>
      </c>
      <c r="Z154" s="27">
        <v>1300</v>
      </c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>
        <f>SUM(AM154:AS154)</f>
        <v>0</v>
      </c>
      <c r="AM154" s="26"/>
      <c r="AN154" s="26"/>
      <c r="AO154" s="26"/>
      <c r="AP154" s="26"/>
      <c r="AQ154" s="26"/>
      <c r="AR154" s="26"/>
      <c r="AS154" s="26"/>
      <c r="AT154" s="70">
        <f>1624+800</f>
        <v>2424</v>
      </c>
      <c r="AU154" s="70">
        <v>1624</v>
      </c>
      <c r="AV154" s="26"/>
      <c r="AW154" s="26"/>
      <c r="AX154" s="70">
        <v>800</v>
      </c>
      <c r="AY154" s="29">
        <f>Y154-AV154-AX154-AW154</f>
        <v>2100</v>
      </c>
      <c r="AZ154" s="29">
        <f ca="1">'Layout for shadhous 1&amp;2'!L71</f>
        <v>2100</v>
      </c>
      <c r="BA154" s="26">
        <f>AL154+AG154+AA154+AT154</f>
        <v>2424</v>
      </c>
      <c r="BB154" s="30">
        <f>BD154+AO154+AG154</f>
        <v>476</v>
      </c>
      <c r="BC154" s="30">
        <f>BD154+AS154</f>
        <v>476</v>
      </c>
      <c r="BD154" s="30">
        <f>IF(BA154&gt;0,Y154-BA154,BA154)</f>
        <v>476</v>
      </c>
      <c r="BE154" s="31">
        <v>8</v>
      </c>
      <c r="BF154" s="30" t="s">
        <v>76</v>
      </c>
      <c r="BG154" s="31">
        <f>BE154*Q154</f>
        <v>23200</v>
      </c>
      <c r="BH154" s="31">
        <f>BE154*R154*0.4</f>
        <v>0</v>
      </c>
      <c r="BI154" s="142">
        <f>BE154*T154</f>
        <v>0</v>
      </c>
      <c r="BJ154" s="142">
        <f>BE154*U154*0.4</f>
        <v>0</v>
      </c>
      <c r="BK154" s="32">
        <f>Y154*BE154</f>
        <v>23200</v>
      </c>
      <c r="BL154" s="25">
        <v>156</v>
      </c>
      <c r="BM154" s="25">
        <v>156</v>
      </c>
      <c r="BN154" s="25">
        <v>156</v>
      </c>
      <c r="BO154" s="25">
        <v>156</v>
      </c>
      <c r="BP154" s="25">
        <f>BE154*AV154</f>
        <v>0</v>
      </c>
      <c r="BQ154" s="25">
        <f>BE154*AX154</f>
        <v>6400</v>
      </c>
      <c r="BR154" s="26"/>
    </row>
    <row r="155" spans="1:70" s="6" customFormat="1" ht="41.25" customHeight="1">
      <c r="A155" s="18">
        <v>152</v>
      </c>
      <c r="B155" s="18" t="s">
        <v>48</v>
      </c>
      <c r="C155" s="65" t="s">
        <v>232</v>
      </c>
      <c r="D155" s="19" t="s">
        <v>50</v>
      </c>
      <c r="E155" s="22" t="s">
        <v>901</v>
      </c>
      <c r="F155" s="52" t="s">
        <v>123</v>
      </c>
      <c r="G155" s="21" t="s">
        <v>52</v>
      </c>
      <c r="H155" s="22"/>
      <c r="I155" s="22"/>
      <c r="J155" s="22"/>
      <c r="K155" s="22"/>
      <c r="L155" s="22" t="s">
        <v>119</v>
      </c>
      <c r="M155" s="23"/>
      <c r="N155" s="22" t="s">
        <v>1205</v>
      </c>
      <c r="O155" s="23" t="s">
        <v>1206</v>
      </c>
      <c r="P155" s="18" t="s">
        <v>56</v>
      </c>
      <c r="Q155" s="72"/>
      <c r="R155" s="72"/>
      <c r="S155" s="25">
        <v>9060</v>
      </c>
      <c r="T155" s="26"/>
      <c r="U155" s="26"/>
      <c r="V155" s="25">
        <v>9060</v>
      </c>
      <c r="W155" s="26"/>
      <c r="X155" s="25">
        <v>5436</v>
      </c>
      <c r="Y155" s="26">
        <f>T155+R155+Q155+U155+W155</f>
        <v>0</v>
      </c>
      <c r="Z155" s="27">
        <v>45300</v>
      </c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>
        <f>SUM(AM155:AS155)</f>
        <v>0</v>
      </c>
      <c r="AM155" s="41"/>
      <c r="AN155" s="49">
        <v>0</v>
      </c>
      <c r="AO155" s="49"/>
      <c r="AP155" s="49"/>
      <c r="AQ155" s="49"/>
      <c r="AR155" s="49"/>
      <c r="AS155" s="49"/>
      <c r="AT155" s="43"/>
      <c r="AU155" s="43"/>
      <c r="AV155" s="26"/>
      <c r="AW155" s="26"/>
      <c r="AX155" s="43"/>
      <c r="AY155" s="72">
        <f>Y155-AV155-AX155-AW155</f>
        <v>0</v>
      </c>
      <c r="AZ155" s="68"/>
      <c r="BA155" s="26">
        <f>AL155+AG155+AA155+AT155</f>
        <v>0</v>
      </c>
      <c r="BB155" s="30">
        <f>BD155+AO155+AG155</f>
        <v>0</v>
      </c>
      <c r="BC155" s="30">
        <f>BD155+AS155</f>
        <v>0</v>
      </c>
      <c r="BD155" s="30">
        <f>IF(BA155&gt;0,Y155-BA155,BA155)</f>
        <v>0</v>
      </c>
      <c r="BE155" s="31">
        <v>3.5</v>
      </c>
      <c r="BF155" s="30" t="s">
        <v>76</v>
      </c>
      <c r="BG155" s="31">
        <f>BE155*Q155</f>
        <v>0</v>
      </c>
      <c r="BH155" s="31">
        <f>BE155*R155*0.4</f>
        <v>0</v>
      </c>
      <c r="BI155" s="142">
        <f>BE155*T155</f>
        <v>0</v>
      </c>
      <c r="BJ155" s="142">
        <f>BE155*U155*0.4</f>
        <v>0</v>
      </c>
      <c r="BK155" s="32">
        <f>Y155*BE155</f>
        <v>0</v>
      </c>
      <c r="BL155" s="25">
        <v>5436</v>
      </c>
      <c r="BM155" s="25">
        <v>5436</v>
      </c>
      <c r="BN155" s="25">
        <v>5436</v>
      </c>
      <c r="BO155" s="25">
        <v>5436</v>
      </c>
      <c r="BP155" s="25">
        <f>BE155*AV155</f>
        <v>0</v>
      </c>
      <c r="BQ155" s="25">
        <f>BE155*AX155</f>
        <v>0</v>
      </c>
      <c r="BR155" s="43"/>
    </row>
    <row r="156" spans="1:70" s="6" customFormat="1" ht="41.25" customHeight="1">
      <c r="A156" s="18">
        <v>153</v>
      </c>
      <c r="B156" s="18" t="s">
        <v>48</v>
      </c>
      <c r="C156" s="18" t="s">
        <v>49</v>
      </c>
      <c r="D156" s="19" t="s">
        <v>50</v>
      </c>
      <c r="E156" s="22" t="s">
        <v>1218</v>
      </c>
      <c r="F156" s="52" t="s">
        <v>123</v>
      </c>
      <c r="G156" s="21" t="s">
        <v>52</v>
      </c>
      <c r="H156" s="22">
        <v>120</v>
      </c>
      <c r="I156" s="22">
        <v>200</v>
      </c>
      <c r="J156" s="22"/>
      <c r="K156" s="22"/>
      <c r="L156" s="22" t="s">
        <v>52</v>
      </c>
      <c r="M156" s="23"/>
      <c r="N156" s="22" t="s">
        <v>1219</v>
      </c>
      <c r="O156" s="23" t="s">
        <v>1220</v>
      </c>
      <c r="P156" s="18" t="s">
        <v>56</v>
      </c>
      <c r="Q156" s="72"/>
      <c r="R156" s="72"/>
      <c r="S156" s="25">
        <v>260</v>
      </c>
      <c r="T156" s="26"/>
      <c r="U156" s="26"/>
      <c r="V156" s="25">
        <v>260</v>
      </c>
      <c r="W156" s="26"/>
      <c r="X156" s="25">
        <v>156</v>
      </c>
      <c r="Y156" s="26">
        <f>T156+R156+Q156+U156+W156</f>
        <v>0</v>
      </c>
      <c r="Z156" s="27">
        <v>1300</v>
      </c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>
        <f>SUM(AM156:AS156)</f>
        <v>0</v>
      </c>
      <c r="AM156" s="26"/>
      <c r="AN156" s="26"/>
      <c r="AO156" s="26"/>
      <c r="AP156" s="26"/>
      <c r="AQ156" s="26"/>
      <c r="AR156" s="26"/>
      <c r="AS156" s="26"/>
      <c r="AT156" s="28"/>
      <c r="AU156" s="28"/>
      <c r="AV156" s="26"/>
      <c r="AW156" s="26"/>
      <c r="AX156" s="28"/>
      <c r="AY156" s="72">
        <f>Y156-AV156-AX156-AW156</f>
        <v>0</v>
      </c>
      <c r="AZ156" s="68"/>
      <c r="BA156" s="26">
        <f>AL156+AG156+AA156+AT156</f>
        <v>0</v>
      </c>
      <c r="BB156" s="30">
        <f>BD156+AO156+AG156</f>
        <v>0</v>
      </c>
      <c r="BC156" s="30">
        <f>BD156+AS156</f>
        <v>0</v>
      </c>
      <c r="BD156" s="30">
        <f>IF(BA156&gt;0,Y156-BA156,BA156)</f>
        <v>0</v>
      </c>
      <c r="BE156" s="31">
        <v>7</v>
      </c>
      <c r="BF156" s="30" t="s">
        <v>76</v>
      </c>
      <c r="BG156" s="31">
        <f>BE156*Q156</f>
        <v>0</v>
      </c>
      <c r="BH156" s="31">
        <f>BE156*R156*0.4</f>
        <v>0</v>
      </c>
      <c r="BI156" s="142">
        <f>BE156*T156</f>
        <v>0</v>
      </c>
      <c r="BJ156" s="142">
        <f>BE156*U156*0.4</f>
        <v>0</v>
      </c>
      <c r="BK156" s="32">
        <f>Y156*BE156</f>
        <v>0</v>
      </c>
      <c r="BL156" s="25">
        <v>156</v>
      </c>
      <c r="BM156" s="25">
        <v>156</v>
      </c>
      <c r="BN156" s="25">
        <v>156</v>
      </c>
      <c r="BO156" s="25">
        <v>156</v>
      </c>
      <c r="BP156" s="25">
        <f>BE156*AV156</f>
        <v>0</v>
      </c>
      <c r="BQ156" s="25">
        <f>BE156*AX156</f>
        <v>0</v>
      </c>
      <c r="BR156" s="28"/>
    </row>
    <row r="157" spans="1:70" s="6" customFormat="1" ht="41.25" customHeight="1">
      <c r="A157" s="18">
        <v>154</v>
      </c>
      <c r="B157" s="18" t="s">
        <v>191</v>
      </c>
      <c r="C157" s="18" t="s">
        <v>192</v>
      </c>
      <c r="D157" s="21" t="s">
        <v>50</v>
      </c>
      <c r="E157" s="22" t="s">
        <v>1222</v>
      </c>
      <c r="F157" s="52" t="s">
        <v>123</v>
      </c>
      <c r="G157" s="52" t="s">
        <v>123</v>
      </c>
      <c r="H157" s="22">
        <v>120</v>
      </c>
      <c r="I157" s="22">
        <v>100</v>
      </c>
      <c r="J157" s="22"/>
      <c r="K157" s="22"/>
      <c r="L157" s="22"/>
      <c r="M157" s="23"/>
      <c r="N157" s="22" t="s">
        <v>1223</v>
      </c>
      <c r="O157" s="23" t="s">
        <v>1224</v>
      </c>
      <c r="P157" s="18" t="s">
        <v>56</v>
      </c>
      <c r="Q157" s="29">
        <v>50</v>
      </c>
      <c r="R157" s="72"/>
      <c r="S157" s="25">
        <v>3540</v>
      </c>
      <c r="T157" s="26"/>
      <c r="U157" s="26"/>
      <c r="V157" s="25">
        <v>3540</v>
      </c>
      <c r="W157" s="26"/>
      <c r="X157" s="25">
        <v>2124</v>
      </c>
      <c r="Y157" s="29">
        <f>T157+R157+Q157+U157+W157</f>
        <v>50</v>
      </c>
      <c r="Z157" s="27">
        <v>17700</v>
      </c>
      <c r="AA157" s="26"/>
      <c r="AB157" s="26"/>
      <c r="AC157" s="26"/>
      <c r="AD157" s="26"/>
      <c r="AE157" s="26"/>
      <c r="AF157" s="26"/>
      <c r="AG157" s="57">
        <f>SUBTOTAL(9,AH157:AK157)</f>
        <v>614</v>
      </c>
      <c r="AH157" s="26"/>
      <c r="AI157" s="57">
        <v>614</v>
      </c>
      <c r="AJ157" s="26"/>
      <c r="AK157" s="26"/>
      <c r="AL157" s="26">
        <f>SUM(AM157:AS157)</f>
        <v>0</v>
      </c>
      <c r="AM157" s="26"/>
      <c r="AN157" s="26"/>
      <c r="AO157" s="26"/>
      <c r="AP157" s="26"/>
      <c r="AQ157" s="26"/>
      <c r="AR157" s="26"/>
      <c r="AS157" s="26"/>
      <c r="AT157" s="28"/>
      <c r="AU157" s="28"/>
      <c r="AV157" s="26"/>
      <c r="AW157" s="26"/>
      <c r="AX157" s="28"/>
      <c r="AY157" s="29">
        <f>Y157-AV157-AX157-AW157</f>
        <v>50</v>
      </c>
      <c r="AZ157" s="29"/>
      <c r="BA157" s="26">
        <f>AL157+AG157+AA157+AT157</f>
        <v>614</v>
      </c>
      <c r="BB157" s="30">
        <f>BD157+AO157+AG157</f>
        <v>50</v>
      </c>
      <c r="BC157" s="30">
        <f>BD157+AS157</f>
        <v>-564</v>
      </c>
      <c r="BD157" s="30">
        <f>IF(BA157&gt;0,Y157-BA157,BA157)</f>
        <v>-564</v>
      </c>
      <c r="BE157" s="31">
        <v>8</v>
      </c>
      <c r="BF157" s="30" t="s">
        <v>76</v>
      </c>
      <c r="BG157" s="31">
        <f>BE157*Q157</f>
        <v>400</v>
      </c>
      <c r="BH157" s="31">
        <f>BE157*R157*0.4</f>
        <v>0</v>
      </c>
      <c r="BI157" s="142">
        <f>BE157*T157</f>
        <v>0</v>
      </c>
      <c r="BJ157" s="142">
        <f>BE157*U157*0.4</f>
        <v>0</v>
      </c>
      <c r="BK157" s="32">
        <f>Y157*BE157</f>
        <v>400</v>
      </c>
      <c r="BL157" s="25">
        <v>2124</v>
      </c>
      <c r="BM157" s="25">
        <v>2124</v>
      </c>
      <c r="BN157" s="25">
        <v>2124</v>
      </c>
      <c r="BO157" s="25">
        <v>2124</v>
      </c>
      <c r="BP157" s="25">
        <f>BE157*AV157</f>
        <v>0</v>
      </c>
      <c r="BQ157" s="25">
        <f>BE157*AX157</f>
        <v>0</v>
      </c>
      <c r="BR157" s="28"/>
    </row>
    <row r="158" spans="1:70" s="6" customFormat="1" ht="41.25" customHeight="1">
      <c r="A158" s="18">
        <v>155</v>
      </c>
      <c r="B158" s="18" t="s">
        <v>191</v>
      </c>
      <c r="C158" s="18" t="s">
        <v>426</v>
      </c>
      <c r="D158" s="36" t="s">
        <v>68</v>
      </c>
      <c r="E158" s="22" t="s">
        <v>1225</v>
      </c>
      <c r="F158" s="36" t="s">
        <v>70</v>
      </c>
      <c r="G158" s="36" t="s">
        <v>70</v>
      </c>
      <c r="H158" s="22"/>
      <c r="I158" s="37" t="s">
        <v>104</v>
      </c>
      <c r="J158" s="37"/>
      <c r="K158" s="37"/>
      <c r="L158" s="22"/>
      <c r="M158" s="23" t="s">
        <v>1226</v>
      </c>
      <c r="N158" s="22" t="s">
        <v>1227</v>
      </c>
      <c r="O158" s="23" t="s">
        <v>1228</v>
      </c>
      <c r="P158" s="38" t="s">
        <v>56</v>
      </c>
      <c r="Q158" s="29">
        <v>34</v>
      </c>
      <c r="R158" s="72"/>
      <c r="S158" s="40">
        <v>34</v>
      </c>
      <c r="T158" s="63">
        <v>20</v>
      </c>
      <c r="U158" s="26"/>
      <c r="V158" s="25">
        <v>20</v>
      </c>
      <c r="W158" s="29">
        <v>6</v>
      </c>
      <c r="X158" s="25">
        <v>20</v>
      </c>
      <c r="Y158" s="29">
        <f>T158+R158+Q158+U158+W158</f>
        <v>60</v>
      </c>
      <c r="Z158" s="27">
        <v>170</v>
      </c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41">
        <f>SUM(AM158:AS158)</f>
        <v>20</v>
      </c>
      <c r="AM158" s="41"/>
      <c r="AN158" s="42"/>
      <c r="AO158" s="42">
        <v>20</v>
      </c>
      <c r="AP158" s="42"/>
      <c r="AQ158" s="42"/>
      <c r="AR158" s="42"/>
      <c r="AS158" s="42"/>
      <c r="AT158" s="43"/>
      <c r="AU158" s="43"/>
      <c r="AV158" s="26"/>
      <c r="AW158" s="26"/>
      <c r="AX158" s="43"/>
      <c r="AY158" s="29">
        <f>Y158-AV158-AX158-AW158</f>
        <v>60</v>
      </c>
      <c r="AZ158" s="29">
        <f>'Layout for trees right'!M28</f>
        <v>60</v>
      </c>
      <c r="BA158" s="26">
        <f>AL158+AG158+AA158+AT158</f>
        <v>20</v>
      </c>
      <c r="BB158" s="30">
        <f>BD158+AO158+AG158</f>
        <v>60</v>
      </c>
      <c r="BC158" s="30">
        <f>BD158+AS158</f>
        <v>40</v>
      </c>
      <c r="BD158" s="30">
        <f>IF(BA158&gt;0,Y158-BA158,BA158)</f>
        <v>40</v>
      </c>
      <c r="BE158" s="31">
        <v>73</v>
      </c>
      <c r="BF158" s="30" t="s">
        <v>76</v>
      </c>
      <c r="BG158" s="31">
        <f>BE158*Q158</f>
        <v>2482</v>
      </c>
      <c r="BH158" s="31">
        <f>BE158*R158*0.4</f>
        <v>0</v>
      </c>
      <c r="BI158" s="142">
        <f>BE158*T158</f>
        <v>1460</v>
      </c>
      <c r="BJ158" s="142">
        <f>BE158*U158*0.4</f>
        <v>0</v>
      </c>
      <c r="BK158" s="32">
        <f>Y158*BE158</f>
        <v>4380</v>
      </c>
      <c r="BL158" s="25">
        <v>20</v>
      </c>
      <c r="BM158" s="25">
        <v>20</v>
      </c>
      <c r="BN158" s="25">
        <v>20</v>
      </c>
      <c r="BO158" s="25">
        <v>36</v>
      </c>
      <c r="BP158" s="25">
        <f>BE158*AV158</f>
        <v>0</v>
      </c>
      <c r="BQ158" s="25">
        <f>BE158*AX158</f>
        <v>0</v>
      </c>
      <c r="BR158" s="43"/>
    </row>
    <row r="159" spans="1:70" s="6" customFormat="1" ht="41.25" customHeight="1">
      <c r="A159" s="18">
        <v>156</v>
      </c>
      <c r="B159" s="18" t="s">
        <v>191</v>
      </c>
      <c r="C159" s="18" t="s">
        <v>192</v>
      </c>
      <c r="D159" s="21" t="s">
        <v>50</v>
      </c>
      <c r="E159" s="22" t="s">
        <v>1222</v>
      </c>
      <c r="F159" s="52" t="s">
        <v>123</v>
      </c>
      <c r="G159" s="36" t="s">
        <v>70</v>
      </c>
      <c r="H159" s="22">
        <v>300</v>
      </c>
      <c r="I159" s="22">
        <v>750</v>
      </c>
      <c r="J159" s="22">
        <v>140</v>
      </c>
      <c r="K159" s="22" t="s">
        <v>107</v>
      </c>
      <c r="L159" s="22"/>
      <c r="M159" s="23"/>
      <c r="N159" s="22" t="s">
        <v>1230</v>
      </c>
      <c r="O159" s="23" t="s">
        <v>1231</v>
      </c>
      <c r="P159" s="18"/>
      <c r="Q159" s="29">
        <v>40</v>
      </c>
      <c r="R159" s="72"/>
      <c r="S159" s="25">
        <v>40</v>
      </c>
      <c r="T159" s="63">
        <v>40</v>
      </c>
      <c r="U159" s="26"/>
      <c r="V159" s="25">
        <v>40</v>
      </c>
      <c r="W159" s="29">
        <v>24</v>
      </c>
      <c r="X159" s="25">
        <v>24</v>
      </c>
      <c r="Y159" s="29">
        <f>T159+R159+Q159+U159+W159</f>
        <v>104</v>
      </c>
      <c r="Z159" s="27">
        <v>200</v>
      </c>
      <c r="AA159" s="25"/>
      <c r="AB159" s="25"/>
      <c r="AC159" s="25"/>
      <c r="AD159" s="25"/>
      <c r="AE159" s="25"/>
      <c r="AF159" s="25"/>
      <c r="AG159" s="57">
        <f>SUBTOTAL(9,AH159:AK159)</f>
        <v>20</v>
      </c>
      <c r="AH159" s="26"/>
      <c r="AI159" s="57">
        <v>20</v>
      </c>
      <c r="AJ159" s="26"/>
      <c r="AK159" s="26"/>
      <c r="AL159" s="26">
        <f>SUM(AM159:AS159)</f>
        <v>0</v>
      </c>
      <c r="AM159" s="26"/>
      <c r="AN159" s="25"/>
      <c r="AO159" s="25"/>
      <c r="AP159" s="25"/>
      <c r="AQ159" s="25"/>
      <c r="AR159" s="25"/>
      <c r="AS159" s="25"/>
      <c r="AT159" s="90"/>
      <c r="AU159" s="90"/>
      <c r="AV159" s="26"/>
      <c r="AW159" s="25"/>
      <c r="AX159" s="90"/>
      <c r="AY159" s="29">
        <f>Y159-AV159-AX159-AW159</f>
        <v>104</v>
      </c>
      <c r="AZ159" s="29">
        <f>'Layout for trees left'!U17</f>
        <v>105</v>
      </c>
      <c r="BA159" s="26">
        <f>AL159+AG159+AA159+AT159</f>
        <v>20</v>
      </c>
      <c r="BB159" s="30">
        <f>BD159+AO159+AG159</f>
        <v>104</v>
      </c>
      <c r="BC159" s="30">
        <f>BD159+AS159</f>
        <v>84</v>
      </c>
      <c r="BD159" s="30">
        <f>IF(BA159&gt;0,Y159-BA159,BA159)</f>
        <v>84</v>
      </c>
      <c r="BE159" s="31">
        <v>11</v>
      </c>
      <c r="BF159" s="30" t="s">
        <v>76</v>
      </c>
      <c r="BG159" s="31">
        <f>BE159*Q159</f>
        <v>440</v>
      </c>
      <c r="BH159" s="31">
        <f>BE159*R159*0.4</f>
        <v>0</v>
      </c>
      <c r="BI159" s="142">
        <f>BE159*T159</f>
        <v>440</v>
      </c>
      <c r="BJ159" s="142">
        <f>BE159*U159*0.4</f>
        <v>0</v>
      </c>
      <c r="BK159" s="32">
        <f>Y159*BE159</f>
        <v>1144</v>
      </c>
      <c r="BL159" s="25">
        <v>24</v>
      </c>
      <c r="BM159" s="25">
        <v>24</v>
      </c>
      <c r="BN159" s="25">
        <v>24</v>
      </c>
      <c r="BO159" s="25">
        <v>24</v>
      </c>
      <c r="BP159" s="25">
        <f>BE159*AV159</f>
        <v>0</v>
      </c>
      <c r="BQ159" s="25">
        <f>BE159*AX159</f>
        <v>0</v>
      </c>
      <c r="BR159" s="90"/>
    </row>
    <row r="160" spans="1:70" s="6" customFormat="1" ht="41.25" customHeight="1">
      <c r="A160" s="18">
        <v>157</v>
      </c>
      <c r="B160" s="18" t="s">
        <v>191</v>
      </c>
      <c r="C160" s="18" t="s">
        <v>192</v>
      </c>
      <c r="D160" s="21" t="s">
        <v>50</v>
      </c>
      <c r="E160" s="22" t="s">
        <v>1232</v>
      </c>
      <c r="F160" s="67" t="s">
        <v>202</v>
      </c>
      <c r="G160" s="67" t="s">
        <v>202</v>
      </c>
      <c r="H160" s="22">
        <v>120</v>
      </c>
      <c r="I160" s="22">
        <v>100</v>
      </c>
      <c r="J160" s="22"/>
      <c r="K160" s="22"/>
      <c r="L160" s="22"/>
      <c r="M160" s="23"/>
      <c r="N160" s="22" t="s">
        <v>1235</v>
      </c>
      <c r="O160" s="23" t="s">
        <v>1236</v>
      </c>
      <c r="P160" s="38" t="s">
        <v>56</v>
      </c>
      <c r="Q160" s="29">
        <v>1340</v>
      </c>
      <c r="R160" s="72"/>
      <c r="S160" s="40">
        <v>1340</v>
      </c>
      <c r="T160" s="29">
        <v>1340</v>
      </c>
      <c r="U160" s="26"/>
      <c r="V160" s="25">
        <v>1340</v>
      </c>
      <c r="W160" s="29">
        <v>13565</v>
      </c>
      <c r="X160" s="25">
        <v>804</v>
      </c>
      <c r="Y160" s="29">
        <f>T160+R160+Q160+U160+W160</f>
        <v>16245</v>
      </c>
      <c r="Z160" s="27">
        <v>6700</v>
      </c>
      <c r="AA160" s="64">
        <f>SUBTOTAL(9,AB160:AF160)</f>
        <v>5451</v>
      </c>
      <c r="AB160" s="64">
        <v>1475</v>
      </c>
      <c r="AC160" s="64">
        <v>708</v>
      </c>
      <c r="AD160" s="64">
        <v>1739</v>
      </c>
      <c r="AE160" s="64">
        <v>1529</v>
      </c>
      <c r="AF160" s="26"/>
      <c r="AG160" s="26"/>
      <c r="AH160" s="26"/>
      <c r="AI160" s="26"/>
      <c r="AJ160" s="26"/>
      <c r="AK160" s="26"/>
      <c r="AL160" s="41">
        <f>SUM(AM160:AS160)</f>
        <v>11973</v>
      </c>
      <c r="AM160" s="41">
        <v>11973</v>
      </c>
      <c r="AN160" s="49">
        <v>0</v>
      </c>
      <c r="AO160" s="49"/>
      <c r="AP160" s="49"/>
      <c r="AQ160" s="49"/>
      <c r="AR160" s="49"/>
      <c r="AS160" s="49"/>
      <c r="AT160" s="43"/>
      <c r="AU160" s="43"/>
      <c r="AV160" s="41">
        <f>5000+1528+2000+1916+1529</f>
        <v>11973</v>
      </c>
      <c r="AW160" s="64">
        <f>1475+708+1739</f>
        <v>3922</v>
      </c>
      <c r="AX160" s="43"/>
      <c r="AY160" s="29">
        <f>Y160-AV160-AX160-AW160</f>
        <v>350</v>
      </c>
      <c r="AZ160" s="29">
        <f ca="1">'Layout for shadhous 1&amp;2'!L65</f>
        <v>350</v>
      </c>
      <c r="BA160" s="26">
        <f>AL160+AG160+AA160+AT160</f>
        <v>17424</v>
      </c>
      <c r="BB160" s="30">
        <f>BD160+AO160+AG160</f>
        <v>-1179</v>
      </c>
      <c r="BC160" s="30">
        <f ca="1">AZ160-BA160+AX160+AW160+AV160</f>
        <v>-1179</v>
      </c>
      <c r="BD160" s="30">
        <f>IF(BA160&gt;0,Y160-BA160,BA160)</f>
        <v>-1179</v>
      </c>
      <c r="BE160" s="31">
        <v>4</v>
      </c>
      <c r="BF160" s="30" t="s">
        <v>76</v>
      </c>
      <c r="BG160" s="31">
        <f>BE160*Q160</f>
        <v>5360</v>
      </c>
      <c r="BH160" s="31">
        <f>BE160*R160*0.4</f>
        <v>0</v>
      </c>
      <c r="BI160" s="142">
        <f>BE160*T160</f>
        <v>5360</v>
      </c>
      <c r="BJ160" s="142">
        <f>BE160*U160*0.4</f>
        <v>0</v>
      </c>
      <c r="BK160" s="32">
        <f>Y160*BE160</f>
        <v>64980</v>
      </c>
      <c r="BL160" s="25">
        <v>804</v>
      </c>
      <c r="BM160" s="25">
        <v>804</v>
      </c>
      <c r="BN160" s="25">
        <v>804</v>
      </c>
      <c r="BO160" s="25">
        <v>804</v>
      </c>
      <c r="BP160" s="25">
        <f>BE160*AV160</f>
        <v>47892</v>
      </c>
      <c r="BQ160" s="25">
        <f>BE160*AX160</f>
        <v>0</v>
      </c>
      <c r="BR160" s="43"/>
    </row>
    <row r="161" spans="1:71" s="6" customFormat="1" ht="41.25" customHeight="1">
      <c r="A161" s="18">
        <v>158</v>
      </c>
      <c r="B161" s="18" t="s">
        <v>58</v>
      </c>
      <c r="C161" s="65" t="s">
        <v>369</v>
      </c>
      <c r="D161" s="21" t="s">
        <v>50</v>
      </c>
      <c r="E161" s="22" t="s">
        <v>1197</v>
      </c>
      <c r="F161" s="52" t="s">
        <v>123</v>
      </c>
      <c r="G161" s="21" t="s">
        <v>52</v>
      </c>
      <c r="H161" s="22"/>
      <c r="I161" s="22"/>
      <c r="J161" s="22"/>
      <c r="K161" s="22"/>
      <c r="L161" s="22" t="s">
        <v>52</v>
      </c>
      <c r="M161" s="23"/>
      <c r="N161" s="22" t="s">
        <v>1249</v>
      </c>
      <c r="O161" s="23" t="s">
        <v>1250</v>
      </c>
      <c r="P161" s="18" t="s">
        <v>56</v>
      </c>
      <c r="Q161" s="29">
        <v>4</v>
      </c>
      <c r="R161" s="72"/>
      <c r="S161" s="25">
        <v>260</v>
      </c>
      <c r="T161" s="26"/>
      <c r="U161" s="26"/>
      <c r="V161" s="25">
        <v>260</v>
      </c>
      <c r="W161" s="26"/>
      <c r="X161" s="25">
        <v>156</v>
      </c>
      <c r="Y161" s="29">
        <f>T161+R161+Q161+U161+W161</f>
        <v>4</v>
      </c>
      <c r="Z161" s="27">
        <v>1300</v>
      </c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>
        <f>SUM(AM161:AS161)</f>
        <v>0</v>
      </c>
      <c r="AM161" s="26"/>
      <c r="AN161" s="26"/>
      <c r="AO161" s="26"/>
      <c r="AP161" s="26"/>
      <c r="AQ161" s="26"/>
      <c r="AR161" s="26"/>
      <c r="AS161" s="26"/>
      <c r="AT161" s="28"/>
      <c r="AU161" s="28"/>
      <c r="AV161" s="26"/>
      <c r="AW161" s="26"/>
      <c r="AX161" s="28"/>
      <c r="AY161" s="29">
        <f>Y161-AV161-AX161-AW161</f>
        <v>4</v>
      </c>
      <c r="AZ161" s="29"/>
      <c r="BA161" s="26">
        <f>AL161+AG161+AA161+AT161</f>
        <v>0</v>
      </c>
      <c r="BB161" s="30">
        <f>BD161+AO161+AG161</f>
        <v>0</v>
      </c>
      <c r="BC161" s="30">
        <f>BD161+AS161</f>
        <v>0</v>
      </c>
      <c r="BD161" s="30">
        <f>IF(BA161&gt;0,Y161-BA161,BA161)</f>
        <v>0</v>
      </c>
      <c r="BE161" s="31">
        <v>7</v>
      </c>
      <c r="BF161" s="30" t="s">
        <v>76</v>
      </c>
      <c r="BG161" s="31">
        <f>BE161*Q161</f>
        <v>28</v>
      </c>
      <c r="BH161" s="31">
        <f>BE161*R161*0.4</f>
        <v>0</v>
      </c>
      <c r="BI161" s="142">
        <f>BE161*T161</f>
        <v>0</v>
      </c>
      <c r="BJ161" s="142">
        <f>BE161*U161*0.4</f>
        <v>0</v>
      </c>
      <c r="BK161" s="32">
        <f>Y161*BE161</f>
        <v>28</v>
      </c>
      <c r="BL161" s="25">
        <v>156</v>
      </c>
      <c r="BM161" s="25">
        <v>156</v>
      </c>
      <c r="BN161" s="25">
        <v>156</v>
      </c>
      <c r="BO161" s="25">
        <v>156</v>
      </c>
      <c r="BP161" s="25">
        <f>BE161*AV161</f>
        <v>0</v>
      </c>
      <c r="BQ161" s="25">
        <f>BE161*AX161</f>
        <v>0</v>
      </c>
      <c r="BR161" s="28"/>
    </row>
    <row r="162" spans="1:71" s="6" customFormat="1" ht="41.25" customHeight="1">
      <c r="A162" s="18">
        <v>159</v>
      </c>
      <c r="B162" s="18" t="s">
        <v>48</v>
      </c>
      <c r="C162" s="18" t="s">
        <v>81</v>
      </c>
      <c r="D162" s="36" t="s">
        <v>68</v>
      </c>
      <c r="E162" s="22" t="s">
        <v>1254</v>
      </c>
      <c r="F162" s="36" t="s">
        <v>70</v>
      </c>
      <c r="G162" s="36" t="s">
        <v>70</v>
      </c>
      <c r="H162" s="22"/>
      <c r="I162" s="37" t="s">
        <v>104</v>
      </c>
      <c r="J162" s="37"/>
      <c r="K162" s="37"/>
      <c r="L162" s="22"/>
      <c r="M162" s="23" t="s">
        <v>1255</v>
      </c>
      <c r="N162" s="22" t="s">
        <v>1256</v>
      </c>
      <c r="O162" s="23" t="s">
        <v>1257</v>
      </c>
      <c r="P162" s="38" t="s">
        <v>56</v>
      </c>
      <c r="Q162" s="29">
        <v>500</v>
      </c>
      <c r="R162" s="72"/>
      <c r="S162" s="40">
        <v>312</v>
      </c>
      <c r="T162" s="26"/>
      <c r="U162" s="26"/>
      <c r="V162" s="25">
        <v>187</v>
      </c>
      <c r="W162" s="29">
        <v>32</v>
      </c>
      <c r="X162" s="25">
        <v>187</v>
      </c>
      <c r="Y162" s="29">
        <f>T162+R162+Q162+U162+W162</f>
        <v>532</v>
      </c>
      <c r="Z162" s="27">
        <v>1560</v>
      </c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41">
        <f>SUM(AM162:AS162)</f>
        <v>243</v>
      </c>
      <c r="AM162" s="41">
        <v>212</v>
      </c>
      <c r="AN162" s="42">
        <v>13</v>
      </c>
      <c r="AO162" s="42">
        <f>9+9</f>
        <v>18</v>
      </c>
      <c r="AP162" s="42"/>
      <c r="AQ162" s="42"/>
      <c r="AR162" s="42"/>
      <c r="AS162" s="42"/>
      <c r="AT162" s="43"/>
      <c r="AU162" s="43"/>
      <c r="AV162" s="41">
        <f>17+82+113</f>
        <v>212</v>
      </c>
      <c r="AW162" s="26"/>
      <c r="AX162" s="43"/>
      <c r="AY162" s="29">
        <f>Y162-AV162-AX162-AW162</f>
        <v>320</v>
      </c>
      <c r="AZ162" s="29">
        <f>'Layout for trees left'!U16</f>
        <v>319</v>
      </c>
      <c r="BA162" s="26">
        <f>AL162+AG162+AA162+AT162</f>
        <v>243</v>
      </c>
      <c r="BB162" s="30">
        <f>BD162+AO162+AG162</f>
        <v>307</v>
      </c>
      <c r="BC162" s="30">
        <f>BD162+AS162</f>
        <v>289</v>
      </c>
      <c r="BD162" s="30">
        <f>IF(BA162&gt;0,Y162-BA162,BA162)</f>
        <v>289</v>
      </c>
      <c r="BE162" s="31">
        <v>155</v>
      </c>
      <c r="BF162" s="30" t="s">
        <v>76</v>
      </c>
      <c r="BG162" s="31">
        <f>BE162*Q162</f>
        <v>77500</v>
      </c>
      <c r="BH162" s="31">
        <f>BE162*R162*0.4</f>
        <v>0</v>
      </c>
      <c r="BI162" s="142">
        <f>BE162*T162</f>
        <v>0</v>
      </c>
      <c r="BJ162" s="142">
        <f>BE162*U162*0.4</f>
        <v>0</v>
      </c>
      <c r="BK162" s="32">
        <f>Y162*BE162</f>
        <v>82460</v>
      </c>
      <c r="BL162" s="25">
        <v>187</v>
      </c>
      <c r="BM162" s="25">
        <v>187</v>
      </c>
      <c r="BN162" s="25">
        <v>187</v>
      </c>
      <c r="BO162" s="25">
        <v>313</v>
      </c>
      <c r="BP162" s="25">
        <f>BE162*AV162</f>
        <v>32860</v>
      </c>
      <c r="BQ162" s="25">
        <f>BE162*AX162</f>
        <v>0</v>
      </c>
      <c r="BR162" s="43"/>
    </row>
    <row r="163" spans="1:71" s="6" customFormat="1" ht="41.25" customHeight="1">
      <c r="A163" s="18">
        <v>160</v>
      </c>
      <c r="B163" s="50" t="s">
        <v>48</v>
      </c>
      <c r="C163" s="44" t="s">
        <v>49</v>
      </c>
      <c r="D163" s="19" t="s">
        <v>50</v>
      </c>
      <c r="E163" s="50" t="s">
        <v>1258</v>
      </c>
      <c r="F163" s="52" t="s">
        <v>123</v>
      </c>
      <c r="G163" s="52" t="s">
        <v>123</v>
      </c>
      <c r="H163" s="50">
        <v>300</v>
      </c>
      <c r="I163" s="50">
        <v>500</v>
      </c>
      <c r="J163" s="50"/>
      <c r="K163" s="50"/>
      <c r="L163" s="50"/>
      <c r="M163" s="23"/>
      <c r="N163" s="22" t="s">
        <v>1259</v>
      </c>
      <c r="O163" s="23" t="s">
        <v>1260</v>
      </c>
      <c r="P163" s="18" t="s">
        <v>56</v>
      </c>
      <c r="Q163" s="29">
        <v>328</v>
      </c>
      <c r="R163" s="72"/>
      <c r="S163" s="25">
        <v>920</v>
      </c>
      <c r="T163" s="26"/>
      <c r="U163" s="26"/>
      <c r="V163" s="25">
        <v>920</v>
      </c>
      <c r="W163" s="26"/>
      <c r="X163" s="25">
        <v>552</v>
      </c>
      <c r="Y163" s="29">
        <f>T163+R163+Q163+U163+W163</f>
        <v>328</v>
      </c>
      <c r="Z163" s="27">
        <v>4600</v>
      </c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>
        <f>SUM(AM163:AS163)</f>
        <v>0</v>
      </c>
      <c r="AM163" s="41"/>
      <c r="AN163" s="49">
        <v>0</v>
      </c>
      <c r="AO163" s="49"/>
      <c r="AP163" s="49"/>
      <c r="AQ163" s="49"/>
      <c r="AR163" s="49"/>
      <c r="AS163" s="49"/>
      <c r="AT163" s="43"/>
      <c r="AU163" s="43"/>
      <c r="AV163" s="26"/>
      <c r="AW163" s="26"/>
      <c r="AX163" s="43"/>
      <c r="AY163" s="29">
        <f>Y163-AV163-AX163-AW163</f>
        <v>328</v>
      </c>
      <c r="AZ163" s="29">
        <f ca="1">'Layout for shadhous 1&amp;2'!L70</f>
        <v>328</v>
      </c>
      <c r="BA163" s="26">
        <f>AL163+AG163+AA163+AT163</f>
        <v>0</v>
      </c>
      <c r="BB163" s="30">
        <f>BD163+AO163+AG163</f>
        <v>0</v>
      </c>
      <c r="BC163" s="30">
        <f>BD163+AS163</f>
        <v>0</v>
      </c>
      <c r="BD163" s="30">
        <f>IF(BA163&gt;0,Y163-BA163,BA163)</f>
        <v>0</v>
      </c>
      <c r="BE163" s="31">
        <v>11</v>
      </c>
      <c r="BF163" s="30" t="s">
        <v>76</v>
      </c>
      <c r="BG163" s="31">
        <f>BE163*Q163</f>
        <v>3608</v>
      </c>
      <c r="BH163" s="31">
        <f>BE163*R163*0.4</f>
        <v>0</v>
      </c>
      <c r="BI163" s="142">
        <f>BE163*T163</f>
        <v>0</v>
      </c>
      <c r="BJ163" s="142">
        <f>BE163*U163*0.4</f>
        <v>0</v>
      </c>
      <c r="BK163" s="32">
        <f>Y163*BE163</f>
        <v>3608</v>
      </c>
      <c r="BL163" s="25">
        <v>552</v>
      </c>
      <c r="BM163" s="25">
        <v>552</v>
      </c>
      <c r="BN163" s="25">
        <v>552</v>
      </c>
      <c r="BO163" s="25">
        <v>552</v>
      </c>
      <c r="BP163" s="25">
        <f>BE163*AV163</f>
        <v>0</v>
      </c>
      <c r="BQ163" s="25">
        <f>BE163*AX163</f>
        <v>0</v>
      </c>
      <c r="BR163" s="43"/>
    </row>
    <row r="164" spans="1:71" s="6" customFormat="1" ht="41.25" customHeight="1">
      <c r="A164" s="18">
        <v>161</v>
      </c>
      <c r="B164" s="18" t="s">
        <v>66</v>
      </c>
      <c r="C164" s="18" t="s">
        <v>67</v>
      </c>
      <c r="D164" s="36" t="s">
        <v>68</v>
      </c>
      <c r="E164" s="22" t="s">
        <v>1262</v>
      </c>
      <c r="F164" s="36" t="s">
        <v>70</v>
      </c>
      <c r="G164" s="36" t="s">
        <v>70</v>
      </c>
      <c r="H164" s="22"/>
      <c r="I164" s="37" t="s">
        <v>71</v>
      </c>
      <c r="J164" s="37"/>
      <c r="K164" s="37"/>
      <c r="L164" s="37"/>
      <c r="M164" s="23" t="s">
        <v>1255</v>
      </c>
      <c r="N164" s="22" t="s">
        <v>1263</v>
      </c>
      <c r="O164" s="23" t="s">
        <v>1264</v>
      </c>
      <c r="P164" s="38" t="s">
        <v>56</v>
      </c>
      <c r="Q164" s="29">
        <v>600</v>
      </c>
      <c r="R164" s="72"/>
      <c r="S164" s="40">
        <v>600</v>
      </c>
      <c r="T164" s="29">
        <v>360</v>
      </c>
      <c r="U164" s="26"/>
      <c r="V164" s="25">
        <v>360</v>
      </c>
      <c r="W164" s="29">
        <v>1387</v>
      </c>
      <c r="X164" s="25">
        <v>360</v>
      </c>
      <c r="Y164" s="29">
        <f>T164+R164+Q164+U164+W164</f>
        <v>2347</v>
      </c>
      <c r="Z164" s="27">
        <v>3000</v>
      </c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41">
        <f>SUM(AM164:AS164)</f>
        <v>206</v>
      </c>
      <c r="AM164" s="41">
        <v>206</v>
      </c>
      <c r="AN164" s="42">
        <v>0</v>
      </c>
      <c r="AO164" s="42"/>
      <c r="AP164" s="42"/>
      <c r="AQ164" s="42"/>
      <c r="AR164" s="42"/>
      <c r="AS164" s="42"/>
      <c r="AT164" s="43"/>
      <c r="AU164" s="43"/>
      <c r="AV164" s="41">
        <f>199+7</f>
        <v>206</v>
      </c>
      <c r="AW164" s="26"/>
      <c r="AX164" s="43"/>
      <c r="AY164" s="29">
        <f>Y164-AV164-AX164-AW164</f>
        <v>2141</v>
      </c>
      <c r="AZ164" s="29">
        <f>'Layout for trees left'!U15+'Layout for trees right'!M30</f>
        <v>2141</v>
      </c>
      <c r="BA164" s="26">
        <f>AL164+AG164+AA164+AT164</f>
        <v>206</v>
      </c>
      <c r="BB164" s="30">
        <f>BD164+AO164+AG164</f>
        <v>2141</v>
      </c>
      <c r="BC164" s="30">
        <f>BD164+AS164</f>
        <v>2141</v>
      </c>
      <c r="BD164" s="30">
        <f>IF(BA164&gt;0,Y164-BA164,BA164)</f>
        <v>2141</v>
      </c>
      <c r="BE164" s="31">
        <v>24</v>
      </c>
      <c r="BF164" s="30" t="s">
        <v>76</v>
      </c>
      <c r="BG164" s="31">
        <f>BE164*Q164</f>
        <v>14400</v>
      </c>
      <c r="BH164" s="31">
        <f>BE164*R164*0.4</f>
        <v>0</v>
      </c>
      <c r="BI164" s="142">
        <f>BE164*T164</f>
        <v>8640</v>
      </c>
      <c r="BJ164" s="142">
        <f>BE164*U164*0.4</f>
        <v>0</v>
      </c>
      <c r="BK164" s="32">
        <f>Y164*BE164</f>
        <v>56328</v>
      </c>
      <c r="BL164" s="25">
        <v>360</v>
      </c>
      <c r="BM164" s="25">
        <v>360</v>
      </c>
      <c r="BN164" s="25">
        <v>360</v>
      </c>
      <c r="BO164" s="25">
        <v>600</v>
      </c>
      <c r="BP164" s="25">
        <f>BE164*AV164</f>
        <v>4944</v>
      </c>
      <c r="BQ164" s="25">
        <f>BE164*AX164</f>
        <v>0</v>
      </c>
      <c r="BR164" s="43"/>
    </row>
    <row r="165" spans="1:71" s="6" customFormat="1" ht="41.25" customHeight="1">
      <c r="A165" s="18">
        <v>162</v>
      </c>
      <c r="B165" s="18" t="s">
        <v>191</v>
      </c>
      <c r="C165" s="18" t="s">
        <v>192</v>
      </c>
      <c r="D165" s="21" t="s">
        <v>50</v>
      </c>
      <c r="E165" s="22" t="s">
        <v>1267</v>
      </c>
      <c r="F165" s="67" t="s">
        <v>202</v>
      </c>
      <c r="G165" s="34" t="s">
        <v>128</v>
      </c>
      <c r="H165" s="22">
        <v>120</v>
      </c>
      <c r="I165" s="22">
        <v>100</v>
      </c>
      <c r="J165" s="23"/>
      <c r="K165" s="23"/>
      <c r="L165" s="22"/>
      <c r="M165" s="22"/>
      <c r="N165" s="22" t="s">
        <v>1268</v>
      </c>
      <c r="O165" s="23" t="s">
        <v>1269</v>
      </c>
      <c r="P165" s="38" t="s">
        <v>56</v>
      </c>
      <c r="Q165" s="29">
        <v>1880</v>
      </c>
      <c r="R165" s="72"/>
      <c r="S165" s="40">
        <v>1880</v>
      </c>
      <c r="T165" s="29">
        <v>1880</v>
      </c>
      <c r="U165" s="26"/>
      <c r="V165" s="25">
        <v>1880</v>
      </c>
      <c r="W165" s="29">
        <f>5640+1800+6100</f>
        <v>13540</v>
      </c>
      <c r="X165" s="25">
        <v>1128</v>
      </c>
      <c r="Y165" s="29">
        <f>T165+R165+Q165+U165+W165</f>
        <v>17300</v>
      </c>
      <c r="Z165" s="27">
        <v>9400</v>
      </c>
      <c r="AA165" s="26"/>
      <c r="AB165" s="26"/>
      <c r="AC165" s="26"/>
      <c r="AD165" s="26"/>
      <c r="AE165" s="26"/>
      <c r="AF165" s="26"/>
      <c r="AG165" s="57">
        <f>SUBTOTAL(9,AH165:AK165)</f>
        <v>19412</v>
      </c>
      <c r="AH165" s="26"/>
      <c r="AI165" s="57">
        <v>19412</v>
      </c>
      <c r="AJ165" s="26"/>
      <c r="AK165" s="26"/>
      <c r="AL165" s="26">
        <f>SUM(AM165:AS165)</f>
        <v>0</v>
      </c>
      <c r="AM165" s="26"/>
      <c r="AN165" s="26"/>
      <c r="AO165" s="26"/>
      <c r="AP165" s="26"/>
      <c r="AQ165" s="26"/>
      <c r="AR165" s="26"/>
      <c r="AS165" s="26"/>
      <c r="AT165" s="28"/>
      <c r="AU165" s="28"/>
      <c r="AV165" s="26"/>
      <c r="AW165" s="26"/>
      <c r="AX165" s="28"/>
      <c r="AY165" s="29">
        <f>Y165-AV165-AX165-AW165</f>
        <v>17300</v>
      </c>
      <c r="AZ165" s="29">
        <f ca="1">'Layout for shadhous 1&amp;2'!L68+'Layout for shadhous 3'!Q53</f>
        <v>17300</v>
      </c>
      <c r="BA165" s="26">
        <f>AL165+AG165+AA165+AT165</f>
        <v>19412</v>
      </c>
      <c r="BB165" s="30">
        <f>BD165+AO165+AG165</f>
        <v>17300</v>
      </c>
      <c r="BC165" s="30">
        <f>BD165+AS165</f>
        <v>-2112</v>
      </c>
      <c r="BD165" s="30">
        <f>IF(BA165&gt;0,Y165-BA165,BA165)</f>
        <v>-2112</v>
      </c>
      <c r="BE165" s="31">
        <v>8</v>
      </c>
      <c r="BF165" s="30" t="s">
        <v>76</v>
      </c>
      <c r="BG165" s="31">
        <f>BE165*Q165</f>
        <v>15040</v>
      </c>
      <c r="BH165" s="31">
        <f>BE165*R165*0.4</f>
        <v>0</v>
      </c>
      <c r="BI165" s="31">
        <f>BE165*T165</f>
        <v>15040</v>
      </c>
      <c r="BJ165" s="31">
        <f>BE165*U165*0.4</f>
        <v>0</v>
      </c>
      <c r="BK165" s="32">
        <f>Y165*BE165</f>
        <v>138400</v>
      </c>
      <c r="BL165" s="25">
        <v>1128</v>
      </c>
      <c r="BM165" s="25">
        <v>1128</v>
      </c>
      <c r="BN165" s="25">
        <v>1128</v>
      </c>
      <c r="BO165" s="25">
        <v>1128</v>
      </c>
      <c r="BP165" s="25">
        <f>BE165*AV165</f>
        <v>0</v>
      </c>
      <c r="BQ165" s="25">
        <f>BE165*AX165</f>
        <v>0</v>
      </c>
      <c r="BR165" s="28"/>
    </row>
    <row r="166" spans="1:71" s="6" customFormat="1" ht="41.25" customHeight="1">
      <c r="A166" s="18">
        <v>163</v>
      </c>
      <c r="B166" s="50" t="s">
        <v>66</v>
      </c>
      <c r="C166" s="65" t="s">
        <v>225</v>
      </c>
      <c r="D166" s="56" t="s">
        <v>50</v>
      </c>
      <c r="E166" s="50" t="s">
        <v>1193</v>
      </c>
      <c r="F166" s="52" t="s">
        <v>123</v>
      </c>
      <c r="G166" s="52" t="s">
        <v>123</v>
      </c>
      <c r="H166" s="50"/>
      <c r="I166" s="50"/>
      <c r="J166" s="50"/>
      <c r="K166" s="50"/>
      <c r="L166" s="50"/>
      <c r="M166" s="50"/>
      <c r="N166" s="22" t="s">
        <v>1270</v>
      </c>
      <c r="O166" s="23" t="s">
        <v>1271</v>
      </c>
      <c r="P166" s="18" t="s">
        <v>56</v>
      </c>
      <c r="Q166" s="29">
        <v>960</v>
      </c>
      <c r="R166" s="72"/>
      <c r="S166" s="25">
        <v>960</v>
      </c>
      <c r="T166" s="29">
        <v>960</v>
      </c>
      <c r="U166" s="26"/>
      <c r="V166" s="25">
        <v>960</v>
      </c>
      <c r="W166" s="29">
        <v>1080</v>
      </c>
      <c r="X166" s="25">
        <v>576</v>
      </c>
      <c r="Y166" s="29">
        <f>T166+R166+Q166+U166+W166</f>
        <v>3000</v>
      </c>
      <c r="Z166" s="27">
        <v>4800</v>
      </c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>
        <f>SUM(AM166:AS166)</f>
        <v>0</v>
      </c>
      <c r="AM166" s="41"/>
      <c r="AN166" s="49">
        <v>0</v>
      </c>
      <c r="AO166" s="49"/>
      <c r="AP166" s="49"/>
      <c r="AQ166" s="49"/>
      <c r="AR166" s="49"/>
      <c r="AS166" s="49"/>
      <c r="AT166" s="43"/>
      <c r="AU166" s="43"/>
      <c r="AV166" s="26"/>
      <c r="AW166" s="26"/>
      <c r="AX166" s="43"/>
      <c r="AY166" s="29">
        <f>Y166-AV166-AX166-AW166</f>
        <v>3000</v>
      </c>
      <c r="AZ166" s="29">
        <f>'Layout for shadhous 1&amp;2'!L66</f>
        <v>3000</v>
      </c>
      <c r="BA166" s="26">
        <f>AL166+AG166+AA166+AT166</f>
        <v>0</v>
      </c>
      <c r="BB166" s="30">
        <f>BD166+AO166+AG166</f>
        <v>0</v>
      </c>
      <c r="BC166" s="30">
        <f>BD166+AS166</f>
        <v>0</v>
      </c>
      <c r="BD166" s="30">
        <f>IF(BA166&gt;0,Y166-BA166,BA166)</f>
        <v>0</v>
      </c>
      <c r="BE166" s="31">
        <v>5</v>
      </c>
      <c r="BF166" s="30" t="s">
        <v>76</v>
      </c>
      <c r="BG166" s="31">
        <f>BE166*Q166</f>
        <v>4800</v>
      </c>
      <c r="BH166" s="31">
        <f>BE166*R166*0.4</f>
        <v>0</v>
      </c>
      <c r="BI166" s="31">
        <f>BE166*T166</f>
        <v>4800</v>
      </c>
      <c r="BJ166" s="31">
        <f>BE166*U166*0.4</f>
        <v>0</v>
      </c>
      <c r="BK166" s="32">
        <f>Y166*BE166</f>
        <v>15000</v>
      </c>
      <c r="BL166" s="25">
        <v>576</v>
      </c>
      <c r="BM166" s="25">
        <v>576</v>
      </c>
      <c r="BN166" s="25">
        <v>576</v>
      </c>
      <c r="BO166" s="25">
        <v>576</v>
      </c>
      <c r="BP166" s="25">
        <f>BE166*AV166</f>
        <v>0</v>
      </c>
      <c r="BQ166" s="25">
        <f>BE166*AX166</f>
        <v>0</v>
      </c>
      <c r="BR166" s="43">
        <f>1000+2021+935</f>
        <v>3956</v>
      </c>
    </row>
    <row r="167" spans="1:71" s="6" customFormat="1" ht="41.25" customHeight="1">
      <c r="A167" s="18">
        <v>164</v>
      </c>
      <c r="B167" s="18" t="s">
        <v>48</v>
      </c>
      <c r="C167" s="18" t="s">
        <v>49</v>
      </c>
      <c r="D167" s="19" t="s">
        <v>50</v>
      </c>
      <c r="E167" s="20" t="s">
        <v>51</v>
      </c>
      <c r="F167" s="21" t="s">
        <v>52</v>
      </c>
      <c r="G167" s="21" t="s">
        <v>52</v>
      </c>
      <c r="H167" s="22"/>
      <c r="I167" s="22"/>
      <c r="J167" s="22"/>
      <c r="K167" s="22"/>
      <c r="L167" s="20" t="s">
        <v>53</v>
      </c>
      <c r="M167" s="22"/>
      <c r="N167" s="22" t="s">
        <v>54</v>
      </c>
      <c r="O167" s="23" t="s">
        <v>55</v>
      </c>
      <c r="P167" s="18" t="s">
        <v>56</v>
      </c>
      <c r="Q167" s="72"/>
      <c r="R167" s="72"/>
      <c r="S167" s="25">
        <v>9060</v>
      </c>
      <c r="T167" s="26"/>
      <c r="U167" s="26"/>
      <c r="V167" s="25">
        <v>9060</v>
      </c>
      <c r="W167" s="26"/>
      <c r="X167" s="25">
        <v>5436</v>
      </c>
      <c r="Y167" s="26">
        <f>T167+R167+Q167+U167</f>
        <v>0</v>
      </c>
      <c r="Z167" s="27">
        <v>45300</v>
      </c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>
        <f>SUM(AM167:AS167)</f>
        <v>0</v>
      </c>
      <c r="AM167" s="26"/>
      <c r="AN167" s="26"/>
      <c r="AO167" s="26"/>
      <c r="AP167" s="26"/>
      <c r="AQ167" s="26"/>
      <c r="AR167" s="26"/>
      <c r="AS167" s="26"/>
      <c r="AT167" s="28"/>
      <c r="AU167" s="28"/>
      <c r="AV167" s="26"/>
      <c r="AW167" s="26"/>
      <c r="AX167" s="28"/>
      <c r="AY167" s="72">
        <f>Y167-AV167-AX167-AW167</f>
        <v>0</v>
      </c>
      <c r="AZ167" s="68"/>
      <c r="BA167" s="26">
        <f>AL167+AG167+AA167+AT167</f>
        <v>0</v>
      </c>
      <c r="BB167" s="30">
        <f>BD167+AO167+AG167</f>
        <v>0</v>
      </c>
      <c r="BC167" s="30">
        <f>BD167+AS167</f>
        <v>0</v>
      </c>
      <c r="BD167" s="30">
        <f>IF(BA167&gt;0,Y167-BA167,BA167)</f>
        <v>0</v>
      </c>
      <c r="BE167" s="31">
        <v>8</v>
      </c>
      <c r="BF167" s="30" t="s">
        <v>57</v>
      </c>
      <c r="BG167" s="31">
        <f>BE167*Q167</f>
        <v>0</v>
      </c>
      <c r="BH167" s="31">
        <f>BE167*R167*0.4</f>
        <v>0</v>
      </c>
      <c r="BI167" s="31"/>
      <c r="BJ167" s="31"/>
      <c r="BK167" s="32">
        <f>Y167*BE167</f>
        <v>0</v>
      </c>
      <c r="BL167" s="25">
        <v>5436</v>
      </c>
      <c r="BM167" s="25">
        <v>5436</v>
      </c>
      <c r="BN167" s="25">
        <v>5436</v>
      </c>
      <c r="BO167" s="25">
        <v>5436</v>
      </c>
      <c r="BP167" s="25">
        <f>BE167*AV167</f>
        <v>0</v>
      </c>
      <c r="BQ167" s="25">
        <f>BE167*AX167</f>
        <v>0</v>
      </c>
      <c r="BR167" s="26"/>
      <c r="BS167" s="32"/>
    </row>
    <row r="168" spans="1:71" s="6" customFormat="1" ht="41.25" customHeight="1">
      <c r="A168" s="18">
        <v>165</v>
      </c>
      <c r="B168" s="18" t="s">
        <v>58</v>
      </c>
      <c r="C168" s="33" t="s">
        <v>59</v>
      </c>
      <c r="D168" s="34" t="s">
        <v>60</v>
      </c>
      <c r="E168" s="20" t="s">
        <v>61</v>
      </c>
      <c r="F168" s="34" t="s">
        <v>62</v>
      </c>
      <c r="G168" s="21" t="s">
        <v>52</v>
      </c>
      <c r="H168" s="22"/>
      <c r="I168" s="22"/>
      <c r="J168" s="22"/>
      <c r="K168" s="22"/>
      <c r="L168" s="20" t="s">
        <v>53</v>
      </c>
      <c r="M168" s="22"/>
      <c r="N168" s="22" t="s">
        <v>63</v>
      </c>
      <c r="O168" s="23" t="s">
        <v>64</v>
      </c>
      <c r="P168" s="18" t="s">
        <v>65</v>
      </c>
      <c r="Q168" s="72"/>
      <c r="R168" s="72"/>
      <c r="S168" s="35">
        <v>30</v>
      </c>
      <c r="T168" s="26"/>
      <c r="U168" s="26"/>
      <c r="V168" s="35">
        <v>30</v>
      </c>
      <c r="W168" s="154"/>
      <c r="X168" s="35">
        <v>30</v>
      </c>
      <c r="Y168" s="26">
        <f>T168+R168+Q168+U168+W168</f>
        <v>0</v>
      </c>
      <c r="Z168" s="27">
        <v>210</v>
      </c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>
        <f>SUM(AM168:AS168)</f>
        <v>0</v>
      </c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72">
        <f>Y168-AV168-AX168-AW168</f>
        <v>0</v>
      </c>
      <c r="AZ168" s="68"/>
      <c r="BA168" s="26">
        <f>AL168+AG168+AA168+AT168</f>
        <v>0</v>
      </c>
      <c r="BB168" s="30">
        <f>BD168+AO168+AG168</f>
        <v>0</v>
      </c>
      <c r="BC168" s="30">
        <f>BD168+AS168</f>
        <v>0</v>
      </c>
      <c r="BD168" s="30">
        <f>IF(BA168&gt;0,Y168-BA168,BA168)</f>
        <v>0</v>
      </c>
      <c r="BE168" s="31">
        <v>75</v>
      </c>
      <c r="BF168" s="30" t="s">
        <v>57</v>
      </c>
      <c r="BG168" s="31">
        <f>BE168*Q168</f>
        <v>0</v>
      </c>
      <c r="BH168" s="31">
        <f>BE168*R168*0.4</f>
        <v>0</v>
      </c>
      <c r="BI168" s="142"/>
      <c r="BJ168" s="142"/>
      <c r="BK168" s="32">
        <f>Y168*BE168</f>
        <v>0</v>
      </c>
      <c r="BL168" s="35">
        <v>30</v>
      </c>
      <c r="BM168" s="35">
        <v>30</v>
      </c>
      <c r="BN168" s="35">
        <v>30</v>
      </c>
      <c r="BO168" s="35">
        <v>30</v>
      </c>
      <c r="BP168" s="25">
        <f>BE168*AV168</f>
        <v>0</v>
      </c>
      <c r="BQ168" s="25">
        <f>BE168*AX168</f>
        <v>0</v>
      </c>
      <c r="BR168" s="26"/>
    </row>
    <row r="169" spans="1:71" s="6" customFormat="1" ht="41.25" customHeight="1">
      <c r="A169" s="18">
        <v>166</v>
      </c>
      <c r="B169" s="18" t="s">
        <v>87</v>
      </c>
      <c r="C169" s="18" t="s">
        <v>88</v>
      </c>
      <c r="D169" s="47" t="s">
        <v>89</v>
      </c>
      <c r="E169" s="22" t="s">
        <v>90</v>
      </c>
      <c r="F169" s="36" t="s">
        <v>70</v>
      </c>
      <c r="G169" s="36" t="s">
        <v>70</v>
      </c>
      <c r="H169" s="22"/>
      <c r="I169" s="37" t="s">
        <v>91</v>
      </c>
      <c r="J169" s="22">
        <v>200</v>
      </c>
      <c r="K169" s="22" t="s">
        <v>385</v>
      </c>
      <c r="L169" s="22"/>
      <c r="M169" s="22"/>
      <c r="N169" s="22" t="s">
        <v>92</v>
      </c>
      <c r="O169" s="23" t="s">
        <v>93</v>
      </c>
      <c r="P169" s="18" t="s">
        <v>56</v>
      </c>
      <c r="Q169" s="72"/>
      <c r="R169" s="72"/>
      <c r="S169" s="25">
        <v>5</v>
      </c>
      <c r="T169" s="26"/>
      <c r="U169" s="26"/>
      <c r="V169" s="25"/>
      <c r="W169" s="26"/>
      <c r="X169" s="25"/>
      <c r="Y169" s="26">
        <f>T169+R169+Q169+U169+W169</f>
        <v>0</v>
      </c>
      <c r="Z169" s="27">
        <v>5</v>
      </c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>
        <f>SUM(AM169:AS169)</f>
        <v>0</v>
      </c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72">
        <f>Y169-AV169-AX169-AW169</f>
        <v>0</v>
      </c>
      <c r="AZ169" s="68"/>
      <c r="BA169" s="26">
        <f>AL169+AG169+AA169+AT169</f>
        <v>0</v>
      </c>
      <c r="BB169" s="30">
        <f>BD169+AO169+AG169</f>
        <v>0</v>
      </c>
      <c r="BC169" s="30">
        <f>BD169+AS169</f>
        <v>0</v>
      </c>
      <c r="BD169" s="30">
        <f>IF(BA169&gt;0,Y169-BA169,BA169)</f>
        <v>0</v>
      </c>
      <c r="BE169" s="31">
        <v>690</v>
      </c>
      <c r="BF169" s="30" t="s">
        <v>57</v>
      </c>
      <c r="BG169" s="31">
        <f>BE169*Q169</f>
        <v>0</v>
      </c>
      <c r="BH169" s="31">
        <f>BE169*R169*0.4</f>
        <v>0</v>
      </c>
      <c r="BI169" s="31"/>
      <c r="BJ169" s="31"/>
      <c r="BK169" s="32">
        <f>Y169*BE169</f>
        <v>0</v>
      </c>
      <c r="BL169" s="25"/>
      <c r="BM169" s="25"/>
      <c r="BN169" s="25"/>
      <c r="BO169" s="25"/>
      <c r="BP169" s="25">
        <f>BE169*AV169</f>
        <v>0</v>
      </c>
      <c r="BQ169" s="25">
        <f>BE169*AX169</f>
        <v>0</v>
      </c>
      <c r="BR169" s="26"/>
    </row>
    <row r="170" spans="1:71" s="6" customFormat="1" ht="41.25" customHeight="1">
      <c r="A170" s="18">
        <v>167</v>
      </c>
      <c r="B170" s="18" t="s">
        <v>94</v>
      </c>
      <c r="C170" s="18" t="s">
        <v>95</v>
      </c>
      <c r="D170" s="18" t="s">
        <v>96</v>
      </c>
      <c r="E170" s="22" t="s">
        <v>97</v>
      </c>
      <c r="F170" s="48" t="s">
        <v>98</v>
      </c>
      <c r="G170" s="36" t="s">
        <v>70</v>
      </c>
      <c r="H170" s="22"/>
      <c r="I170" s="22"/>
      <c r="J170" s="22"/>
      <c r="K170" s="22"/>
      <c r="L170" s="22"/>
      <c r="M170" s="22"/>
      <c r="N170" s="22" t="s">
        <v>99</v>
      </c>
      <c r="O170" s="23"/>
      <c r="P170" s="18" t="s">
        <v>56</v>
      </c>
      <c r="Q170" s="72"/>
      <c r="R170" s="72"/>
      <c r="S170" s="25">
        <v>60</v>
      </c>
      <c r="T170" s="26"/>
      <c r="U170" s="26"/>
      <c r="V170" s="25">
        <v>60</v>
      </c>
      <c r="W170" s="26"/>
      <c r="X170" s="25">
        <v>60</v>
      </c>
      <c r="Y170" s="26">
        <f>T170+R170+Q170+U170+W170</f>
        <v>0</v>
      </c>
      <c r="Z170" s="27">
        <v>420</v>
      </c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41">
        <f>SUM(AM170:AS170)</f>
        <v>1432</v>
      </c>
      <c r="AM170" s="26"/>
      <c r="AN170" s="49">
        <v>0</v>
      </c>
      <c r="AO170" s="49">
        <f>1172+260</f>
        <v>1432</v>
      </c>
      <c r="AP170" s="49"/>
      <c r="AQ170" s="49"/>
      <c r="AR170" s="49"/>
      <c r="AS170" s="49"/>
      <c r="AT170" s="26"/>
      <c r="AU170" s="26"/>
      <c r="AV170" s="26"/>
      <c r="AW170" s="26"/>
      <c r="AX170" s="26"/>
      <c r="AY170" s="72">
        <f>Y170-AV170-AX170-AW170</f>
        <v>0</v>
      </c>
      <c r="AZ170" s="68"/>
      <c r="BA170" s="26">
        <f>AL170+AG170+AA170+AT170</f>
        <v>1432</v>
      </c>
      <c r="BB170" s="30">
        <f>BD170+AO170+AG170</f>
        <v>0</v>
      </c>
      <c r="BC170" s="30">
        <f>BD170+AS170</f>
        <v>-1432</v>
      </c>
      <c r="BD170" s="30">
        <f>IF(BA170&gt;0,Y170-BA170,BA170)</f>
        <v>-1432</v>
      </c>
      <c r="BE170" s="31">
        <v>8</v>
      </c>
      <c r="BF170" s="30" t="s">
        <v>57</v>
      </c>
      <c r="BG170" s="31">
        <f>BE170*Q170</f>
        <v>0</v>
      </c>
      <c r="BH170" s="31">
        <f>BE170*R170*0.4</f>
        <v>0</v>
      </c>
      <c r="BI170" s="142"/>
      <c r="BJ170" s="142"/>
      <c r="BK170" s="32">
        <f>Y170*BE170</f>
        <v>0</v>
      </c>
      <c r="BL170" s="25">
        <v>60</v>
      </c>
      <c r="BM170" s="25">
        <v>60</v>
      </c>
      <c r="BN170" s="25">
        <v>60</v>
      </c>
      <c r="BO170" s="25">
        <v>60</v>
      </c>
      <c r="BP170" s="25">
        <f>BE170*AV170</f>
        <v>0</v>
      </c>
      <c r="BQ170" s="25">
        <f>BE170*AX170</f>
        <v>0</v>
      </c>
      <c r="BR170" s="26"/>
      <c r="BS170" s="32"/>
    </row>
    <row r="171" spans="1:71" s="6" customFormat="1" ht="41.25" customHeight="1">
      <c r="A171" s="18">
        <v>168</v>
      </c>
      <c r="B171" s="18" t="s">
        <v>87</v>
      </c>
      <c r="C171" s="18" t="s">
        <v>88</v>
      </c>
      <c r="D171" s="47" t="s">
        <v>89</v>
      </c>
      <c r="E171" s="22" t="s">
        <v>100</v>
      </c>
      <c r="F171" s="36" t="s">
        <v>70</v>
      </c>
      <c r="G171" s="36" t="s">
        <v>70</v>
      </c>
      <c r="H171" s="22"/>
      <c r="I171" s="37" t="s">
        <v>91</v>
      </c>
      <c r="J171" s="22">
        <v>200</v>
      </c>
      <c r="K171" s="22" t="s">
        <v>292</v>
      </c>
      <c r="L171" s="22"/>
      <c r="M171" s="22"/>
      <c r="N171" s="22" t="s">
        <v>101</v>
      </c>
      <c r="O171" s="23" t="s">
        <v>102</v>
      </c>
      <c r="P171" s="18" t="s">
        <v>56</v>
      </c>
      <c r="Q171" s="72"/>
      <c r="R171" s="72"/>
      <c r="S171" s="25">
        <v>5</v>
      </c>
      <c r="T171" s="26"/>
      <c r="U171" s="26"/>
      <c r="V171" s="25"/>
      <c r="W171" s="26"/>
      <c r="X171" s="25"/>
      <c r="Y171" s="26">
        <f>T171+R171+Q171+U171+W171</f>
        <v>0</v>
      </c>
      <c r="Z171" s="27">
        <v>5</v>
      </c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>
        <f>SUM(AM171:AS171)</f>
        <v>0</v>
      </c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72">
        <f>Y171-AV171-AX171-AW171</f>
        <v>0</v>
      </c>
      <c r="AZ171" s="68"/>
      <c r="BA171" s="26">
        <f>AL171+AG171+AA171+AT171</f>
        <v>0</v>
      </c>
      <c r="BB171" s="30">
        <f>BD171+AO171+AG171</f>
        <v>0</v>
      </c>
      <c r="BC171" s="30">
        <f>BD171+AS171</f>
        <v>0</v>
      </c>
      <c r="BD171" s="30">
        <f>IF(BA171&gt;0,Y171-BA171,BA171)</f>
        <v>0</v>
      </c>
      <c r="BE171" s="31">
        <v>690</v>
      </c>
      <c r="BF171" s="30" t="s">
        <v>57</v>
      </c>
      <c r="BG171" s="31">
        <f>BE171*Q171</f>
        <v>0</v>
      </c>
      <c r="BH171" s="31">
        <f>BE171*R171*0.4</f>
        <v>0</v>
      </c>
      <c r="BI171" s="142"/>
      <c r="BJ171" s="142"/>
      <c r="BK171" s="32">
        <f>Y171*BE171</f>
        <v>0</v>
      </c>
      <c r="BL171" s="25"/>
      <c r="BM171" s="25"/>
      <c r="BN171" s="25"/>
      <c r="BO171" s="25"/>
      <c r="BP171" s="25">
        <f>BE171*AV171</f>
        <v>0</v>
      </c>
      <c r="BQ171" s="25">
        <f>BE171*AX171</f>
        <v>0</v>
      </c>
      <c r="BR171" s="26"/>
      <c r="BS171" s="32"/>
    </row>
    <row r="172" spans="1:71" s="6" customFormat="1" ht="41.25" customHeight="1">
      <c r="A172" s="18">
        <v>169</v>
      </c>
      <c r="B172" s="50" t="s">
        <v>87</v>
      </c>
      <c r="C172" s="44" t="s">
        <v>88</v>
      </c>
      <c r="D172" s="47" t="s">
        <v>89</v>
      </c>
      <c r="E172" s="50" t="s">
        <v>100</v>
      </c>
      <c r="F172" s="36" t="s">
        <v>70</v>
      </c>
      <c r="G172" s="36" t="s">
        <v>70</v>
      </c>
      <c r="H172" s="50"/>
      <c r="I172" s="37" t="s">
        <v>111</v>
      </c>
      <c r="J172" s="86"/>
      <c r="K172" s="22"/>
      <c r="L172" s="50"/>
      <c r="M172" s="22"/>
      <c r="N172" s="22" t="s">
        <v>112</v>
      </c>
      <c r="O172" s="23" t="s">
        <v>113</v>
      </c>
      <c r="P172" s="18" t="s">
        <v>56</v>
      </c>
      <c r="Q172" s="72"/>
      <c r="R172" s="72"/>
      <c r="S172" s="25">
        <v>10</v>
      </c>
      <c r="T172" s="26"/>
      <c r="U172" s="26"/>
      <c r="V172" s="25"/>
      <c r="W172" s="26"/>
      <c r="X172" s="25"/>
      <c r="Y172" s="26">
        <f>T172+R172+Q172+U172+W172</f>
        <v>0</v>
      </c>
      <c r="Z172" s="27">
        <v>10</v>
      </c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>
        <f>SUM(AM172:AS172)</f>
        <v>0</v>
      </c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72">
        <f>Y172-AV172-AX172-AW172</f>
        <v>0</v>
      </c>
      <c r="AZ172" s="68"/>
      <c r="BA172" s="26">
        <f>AL172+AG172+AA172+AT172</f>
        <v>0</v>
      </c>
      <c r="BB172" s="30">
        <f>BD172+AO172+AG172</f>
        <v>0</v>
      </c>
      <c r="BC172" s="30">
        <f>BD172+AS172</f>
        <v>0</v>
      </c>
      <c r="BD172" s="30">
        <f>IF(BA172&gt;0,Y172-BA172,BA172)</f>
        <v>0</v>
      </c>
      <c r="BE172" s="31">
        <v>1095</v>
      </c>
      <c r="BF172" s="30" t="s">
        <v>57</v>
      </c>
      <c r="BG172" s="31">
        <f>BE172*Q172</f>
        <v>0</v>
      </c>
      <c r="BH172" s="31">
        <f>BE172*R172*0.4</f>
        <v>0</v>
      </c>
      <c r="BI172" s="142"/>
      <c r="BJ172" s="142"/>
      <c r="BK172" s="32">
        <f>Y172*BE172</f>
        <v>0</v>
      </c>
      <c r="BL172" s="25"/>
      <c r="BM172" s="25"/>
      <c r="BN172" s="25"/>
      <c r="BO172" s="25"/>
      <c r="BP172" s="25">
        <f>BE172*AV172</f>
        <v>0</v>
      </c>
      <c r="BQ172" s="25">
        <f>BE172*AX172</f>
        <v>0</v>
      </c>
      <c r="BR172" s="26"/>
      <c r="BS172" s="32"/>
    </row>
    <row r="173" spans="1:71" s="6" customFormat="1" ht="41.25" customHeight="1">
      <c r="A173" s="18">
        <v>170</v>
      </c>
      <c r="B173" s="51" t="s">
        <v>94</v>
      </c>
      <c r="C173" s="18" t="s">
        <v>121</v>
      </c>
      <c r="D173" s="18" t="s">
        <v>96</v>
      </c>
      <c r="E173" s="20" t="s">
        <v>122</v>
      </c>
      <c r="F173" s="52" t="s">
        <v>123</v>
      </c>
      <c r="G173" s="52" t="s">
        <v>123</v>
      </c>
      <c r="H173" s="22"/>
      <c r="I173" s="22"/>
      <c r="J173" s="97">
        <v>200</v>
      </c>
      <c r="K173" s="22" t="s">
        <v>558</v>
      </c>
      <c r="L173" s="20" t="s">
        <v>53</v>
      </c>
      <c r="M173" s="22"/>
      <c r="N173" s="22" t="s">
        <v>124</v>
      </c>
      <c r="O173" s="23"/>
      <c r="P173" s="38" t="s">
        <v>56</v>
      </c>
      <c r="Q173" s="29">
        <v>40</v>
      </c>
      <c r="R173" s="72"/>
      <c r="S173" s="40">
        <v>40</v>
      </c>
      <c r="T173" s="29">
        <v>40</v>
      </c>
      <c r="U173" s="26"/>
      <c r="V173" s="25">
        <v>40</v>
      </c>
      <c r="W173" s="29">
        <v>12</v>
      </c>
      <c r="X173" s="25">
        <v>40</v>
      </c>
      <c r="Y173" s="53">
        <f>T173+R173+Q173+U173+W173</f>
        <v>92</v>
      </c>
      <c r="Z173" s="27">
        <v>280</v>
      </c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>
        <f>SUM(AM173:AS173)</f>
        <v>0</v>
      </c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9">
        <f>Y173-AV173-AX173-AW173</f>
        <v>92</v>
      </c>
      <c r="AZ173" s="29">
        <f>'Layout for shadhous 3'!E49</f>
        <v>92</v>
      </c>
      <c r="BA173" s="26">
        <f>AL173+AG173+AA173+AT173</f>
        <v>0</v>
      </c>
      <c r="BB173" s="30">
        <f>BD173+AO173+AG173</f>
        <v>0</v>
      </c>
      <c r="BC173" s="30">
        <f>BD173+AS173</f>
        <v>0</v>
      </c>
      <c r="BD173" s="30">
        <f>IF(BA173&gt;0,Y173-BA173,BA173)</f>
        <v>0</v>
      </c>
      <c r="BE173" s="31">
        <v>5</v>
      </c>
      <c r="BF173" s="30" t="s">
        <v>57</v>
      </c>
      <c r="BG173" s="31">
        <f>BE173*Q173</f>
        <v>200</v>
      </c>
      <c r="BH173" s="31">
        <f>BE173*R173*0.4</f>
        <v>0</v>
      </c>
      <c r="BI173" s="142"/>
      <c r="BJ173" s="142"/>
      <c r="BK173" s="32">
        <f>Y173*BE173</f>
        <v>460</v>
      </c>
      <c r="BL173" s="25">
        <v>40</v>
      </c>
      <c r="BM173" s="25">
        <v>40</v>
      </c>
      <c r="BN173" s="25">
        <v>40</v>
      </c>
      <c r="BO173" s="25">
        <v>40</v>
      </c>
      <c r="BP173" s="25">
        <f>BE173*AV173</f>
        <v>0</v>
      </c>
      <c r="BQ173" s="25">
        <f>BE173*AX173</f>
        <v>0</v>
      </c>
      <c r="BR173" s="26"/>
      <c r="BS173" s="32"/>
    </row>
    <row r="174" spans="1:71" s="6" customFormat="1" ht="41.25" customHeight="1">
      <c r="A174" s="18">
        <v>171</v>
      </c>
      <c r="B174" s="18" t="s">
        <v>87</v>
      </c>
      <c r="C174" s="54" t="s">
        <v>125</v>
      </c>
      <c r="D174" s="47" t="s">
        <v>89</v>
      </c>
      <c r="E174" s="20" t="s">
        <v>126</v>
      </c>
      <c r="F174" s="19" t="s">
        <v>127</v>
      </c>
      <c r="G174" s="34" t="s">
        <v>128</v>
      </c>
      <c r="H174" s="22"/>
      <c r="I174" s="22" t="s">
        <v>129</v>
      </c>
      <c r="J174" s="86">
        <v>200</v>
      </c>
      <c r="K174" s="22" t="s">
        <v>292</v>
      </c>
      <c r="L174" s="20" t="s">
        <v>53</v>
      </c>
      <c r="M174" s="22"/>
      <c r="N174" s="22" t="s">
        <v>130</v>
      </c>
      <c r="O174" s="23" t="s">
        <v>131</v>
      </c>
      <c r="P174" s="18" t="s">
        <v>56</v>
      </c>
      <c r="Q174" s="72"/>
      <c r="R174" s="72"/>
      <c r="S174" s="25">
        <v>200</v>
      </c>
      <c r="T174" s="26"/>
      <c r="U174" s="26"/>
      <c r="V174" s="25"/>
      <c r="W174" s="26"/>
      <c r="X174" s="25"/>
      <c r="Y174" s="26">
        <f>T174+R174+Q174+U174+W174</f>
        <v>0</v>
      </c>
      <c r="Z174" s="27">
        <v>200</v>
      </c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>
        <f>SUM(AM174:AS174)</f>
        <v>0</v>
      </c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72">
        <f>Y174-AV174-AX174-AW174</f>
        <v>0</v>
      </c>
      <c r="AZ174" s="68"/>
      <c r="BA174" s="26">
        <f>AL174+AG174+AA174+AT174</f>
        <v>0</v>
      </c>
      <c r="BB174" s="30">
        <f>BD174+AO174+AG174</f>
        <v>0</v>
      </c>
      <c r="BC174" s="30">
        <f>BD174+AS174</f>
        <v>0</v>
      </c>
      <c r="BD174" s="30">
        <f>IF(BA174&gt;0,Y174-BA174,BA174)</f>
        <v>0</v>
      </c>
      <c r="BE174" s="31">
        <v>7.5</v>
      </c>
      <c r="BF174" s="30" t="s">
        <v>57</v>
      </c>
      <c r="BG174" s="31">
        <f>BE174*Q174</f>
        <v>0</v>
      </c>
      <c r="BH174" s="31">
        <f>BE174*R174*0.4</f>
        <v>0</v>
      </c>
      <c r="BI174" s="142"/>
      <c r="BJ174" s="142"/>
      <c r="BK174" s="32">
        <f>Y174*BE174</f>
        <v>0</v>
      </c>
      <c r="BL174" s="25"/>
      <c r="BM174" s="25"/>
      <c r="BN174" s="25"/>
      <c r="BO174" s="25"/>
      <c r="BP174" s="25">
        <f>BE174*AV174</f>
        <v>0</v>
      </c>
      <c r="BQ174" s="25">
        <f>BE174*AX174</f>
        <v>0</v>
      </c>
      <c r="BR174" s="26"/>
      <c r="BS174" s="32"/>
    </row>
    <row r="175" spans="1:71" s="6" customFormat="1" ht="41.25" customHeight="1">
      <c r="A175" s="18">
        <v>172</v>
      </c>
      <c r="B175" s="18" t="s">
        <v>94</v>
      </c>
      <c r="C175" s="18" t="s">
        <v>132</v>
      </c>
      <c r="D175" s="18" t="s">
        <v>96</v>
      </c>
      <c r="E175" s="20" t="s">
        <v>133</v>
      </c>
      <c r="F175" s="52" t="s">
        <v>123</v>
      </c>
      <c r="G175" s="52" t="s">
        <v>123</v>
      </c>
      <c r="H175" s="22"/>
      <c r="I175" s="22"/>
      <c r="J175" s="86"/>
      <c r="K175" s="22"/>
      <c r="L175" s="20" t="s">
        <v>53</v>
      </c>
      <c r="M175" s="22"/>
      <c r="N175" s="22" t="s">
        <v>134</v>
      </c>
      <c r="O175" s="23"/>
      <c r="P175" s="38" t="s">
        <v>56</v>
      </c>
      <c r="Q175" s="29">
        <v>60</v>
      </c>
      <c r="R175" s="72"/>
      <c r="S175" s="40">
        <v>60</v>
      </c>
      <c r="T175" s="29">
        <v>10</v>
      </c>
      <c r="U175" s="26"/>
      <c r="V175" s="25">
        <v>60</v>
      </c>
      <c r="W175" s="26"/>
      <c r="X175" s="25">
        <v>60</v>
      </c>
      <c r="Y175" s="53">
        <f>T175+R175+Q175+U175+W175</f>
        <v>70</v>
      </c>
      <c r="Z175" s="27">
        <v>420</v>
      </c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>
        <f>SUM(AM175:AS175)</f>
        <v>0</v>
      </c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9">
        <f>Y175-AV175-AX175-AW175</f>
        <v>70</v>
      </c>
      <c r="AZ175" s="29">
        <f>'Layout for shadhous 3'!E50</f>
        <v>70</v>
      </c>
      <c r="BA175" s="26">
        <f>AL175+AG175+AA175+AT175</f>
        <v>0</v>
      </c>
      <c r="BB175" s="30">
        <f>BD175+AO175+AG175</f>
        <v>0</v>
      </c>
      <c r="BC175" s="30">
        <f>BD175+AS175</f>
        <v>0</v>
      </c>
      <c r="BD175" s="30">
        <f>IF(BA175&gt;0,Y175-BA175,BA175)</f>
        <v>0</v>
      </c>
      <c r="BE175" s="31">
        <v>41</v>
      </c>
      <c r="BF175" s="30" t="s">
        <v>57</v>
      </c>
      <c r="BG175" s="31">
        <f>BE175*Q175</f>
        <v>2460</v>
      </c>
      <c r="BH175" s="31">
        <f>BE175*R175*0.4</f>
        <v>0</v>
      </c>
      <c r="BI175" s="31"/>
      <c r="BJ175" s="31"/>
      <c r="BK175" s="32">
        <f>Y175*BE175</f>
        <v>2870</v>
      </c>
      <c r="BL175" s="25">
        <v>60</v>
      </c>
      <c r="BM175" s="25">
        <v>60</v>
      </c>
      <c r="BN175" s="25">
        <v>60</v>
      </c>
      <c r="BO175" s="25">
        <v>60</v>
      </c>
      <c r="BP175" s="25">
        <f>BE175*AV175</f>
        <v>0</v>
      </c>
      <c r="BQ175" s="25">
        <f>BE175*AX175</f>
        <v>0</v>
      </c>
      <c r="BR175" s="26"/>
      <c r="BS175" s="32"/>
    </row>
    <row r="176" spans="1:71" s="6" customFormat="1" ht="41.25" customHeight="1">
      <c r="A176" s="18">
        <v>173</v>
      </c>
      <c r="B176" s="50" t="s">
        <v>94</v>
      </c>
      <c r="C176" s="44" t="s">
        <v>135</v>
      </c>
      <c r="D176" s="18" t="s">
        <v>96</v>
      </c>
      <c r="E176" s="55" t="s">
        <v>136</v>
      </c>
      <c r="F176" s="34" t="s">
        <v>128</v>
      </c>
      <c r="G176" s="34" t="s">
        <v>128</v>
      </c>
      <c r="H176" s="50"/>
      <c r="I176" s="50"/>
      <c r="J176" s="86">
        <v>200</v>
      </c>
      <c r="K176" s="22" t="s">
        <v>699</v>
      </c>
      <c r="L176" s="20" t="s">
        <v>53</v>
      </c>
      <c r="M176" s="22"/>
      <c r="N176" s="22" t="s">
        <v>137</v>
      </c>
      <c r="O176" s="23" t="s">
        <v>138</v>
      </c>
      <c r="P176" s="18" t="s">
        <v>56</v>
      </c>
      <c r="Q176" s="26"/>
      <c r="R176" s="26"/>
      <c r="S176" s="25"/>
      <c r="T176" s="29">
        <v>200</v>
      </c>
      <c r="U176" s="26"/>
      <c r="V176" s="25">
        <v>200</v>
      </c>
      <c r="W176" s="29">
        <v>600</v>
      </c>
      <c r="X176" s="25"/>
      <c r="Y176" s="53">
        <f>T176+R176+Q176+U176+W176</f>
        <v>800</v>
      </c>
      <c r="Z176" s="27">
        <v>200</v>
      </c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>
        <f>SUM(AM176:AS176)</f>
        <v>0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9">
        <f>Y176-AV176-AX176-AW176</f>
        <v>800</v>
      </c>
      <c r="AZ176" s="29">
        <f ca="1">'Layout for shadhous 1&amp;2'!C54</f>
        <v>800</v>
      </c>
      <c r="BA176" s="26">
        <f>AL176+AG176+AA176+AT176</f>
        <v>0</v>
      </c>
      <c r="BB176" s="30">
        <f>BD176+AO176+AG176</f>
        <v>0</v>
      </c>
      <c r="BC176" s="30">
        <f>BD176+AS176</f>
        <v>0</v>
      </c>
      <c r="BD176" s="30">
        <f>IF(BA176&gt;0,Y176-BA176,BA176)</f>
        <v>0</v>
      </c>
      <c r="BE176" s="31">
        <v>3</v>
      </c>
      <c r="BF176" s="30" t="s">
        <v>57</v>
      </c>
      <c r="BG176" s="31">
        <f>BE176*Q176</f>
        <v>0</v>
      </c>
      <c r="BH176" s="31">
        <f>BE176*R176*0.4</f>
        <v>0</v>
      </c>
      <c r="BI176" s="142"/>
      <c r="BJ176" s="142"/>
      <c r="BK176" s="32">
        <f>Y176*BE176</f>
        <v>2400</v>
      </c>
      <c r="BL176" s="25"/>
      <c r="BM176" s="25"/>
      <c r="BN176" s="25"/>
      <c r="BO176" s="25"/>
      <c r="BP176" s="25">
        <f>BE176*AV176</f>
        <v>0</v>
      </c>
      <c r="BQ176" s="25">
        <f>BE176*AX176</f>
        <v>0</v>
      </c>
      <c r="BR176" s="26"/>
      <c r="BS176" s="32"/>
    </row>
    <row r="177" spans="1:71" s="6" customFormat="1" ht="41.25" customHeight="1">
      <c r="A177" s="18">
        <v>174</v>
      </c>
      <c r="B177" s="18" t="s">
        <v>94</v>
      </c>
      <c r="C177" s="18" t="s">
        <v>144</v>
      </c>
      <c r="D177" s="18" t="s">
        <v>96</v>
      </c>
      <c r="E177" s="22" t="s">
        <v>145</v>
      </c>
      <c r="F177" s="58" t="s">
        <v>146</v>
      </c>
      <c r="G177" s="58" t="s">
        <v>147</v>
      </c>
      <c r="H177" s="22"/>
      <c r="I177" s="22"/>
      <c r="J177" s="86">
        <v>140</v>
      </c>
      <c r="K177" s="22" t="s">
        <v>692</v>
      </c>
      <c r="L177" s="22"/>
      <c r="M177" s="22"/>
      <c r="N177" s="22" t="s">
        <v>148</v>
      </c>
      <c r="O177" s="23"/>
      <c r="P177" s="38" t="s">
        <v>56</v>
      </c>
      <c r="Q177" s="29">
        <v>60</v>
      </c>
      <c r="R177" s="59"/>
      <c r="S177" s="40">
        <v>60</v>
      </c>
      <c r="T177" s="26"/>
      <c r="U177" s="26"/>
      <c r="V177" s="25">
        <v>60</v>
      </c>
      <c r="W177" s="26"/>
      <c r="X177" s="25">
        <v>60</v>
      </c>
      <c r="Y177" s="53">
        <f>T177+R177+Q177+U177+W177</f>
        <v>60</v>
      </c>
      <c r="Z177" s="27">
        <v>420</v>
      </c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>
        <f>SUM(AM177:AS177)</f>
        <v>0</v>
      </c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9">
        <f>Y177-AV177-AX177-AW177</f>
        <v>60</v>
      </c>
      <c r="AZ177" s="29">
        <f>'Layout for shadhous 3'!E51</f>
        <v>56</v>
      </c>
      <c r="BA177" s="26">
        <f>AL177+AG177+AA177+AT177</f>
        <v>0</v>
      </c>
      <c r="BB177" s="30">
        <f>BD177+AO177+AG177</f>
        <v>0</v>
      </c>
      <c r="BC177" s="30">
        <f>BD177+AS177</f>
        <v>0</v>
      </c>
      <c r="BD177" s="30">
        <f>IF(BA177&gt;0,Y177-BA177,BA177)</f>
        <v>0</v>
      </c>
      <c r="BE177" s="31">
        <v>32</v>
      </c>
      <c r="BF177" s="30" t="s">
        <v>57</v>
      </c>
      <c r="BG177" s="31">
        <f>BE177*Q177</f>
        <v>1920</v>
      </c>
      <c r="BH177" s="31">
        <f>BE177*R177*0.4</f>
        <v>0</v>
      </c>
      <c r="BI177" s="142"/>
      <c r="BJ177" s="142"/>
      <c r="BK177" s="32">
        <f>Y177*BE177</f>
        <v>1920</v>
      </c>
      <c r="BL177" s="25">
        <v>60</v>
      </c>
      <c r="BM177" s="25">
        <v>60</v>
      </c>
      <c r="BN177" s="25">
        <v>60</v>
      </c>
      <c r="BO177" s="25">
        <v>60</v>
      </c>
      <c r="BP177" s="25">
        <f>BE177*AV177</f>
        <v>0</v>
      </c>
      <c r="BQ177" s="25">
        <f>BE177*AX177</f>
        <v>0</v>
      </c>
      <c r="BR177" s="26"/>
      <c r="BS177" s="32"/>
    </row>
    <row r="178" spans="1:71" s="6" customFormat="1" ht="41.25" customHeight="1">
      <c r="A178" s="18">
        <v>175</v>
      </c>
      <c r="B178" s="18" t="s">
        <v>94</v>
      </c>
      <c r="C178" s="18" t="s">
        <v>144</v>
      </c>
      <c r="D178" s="18" t="s">
        <v>96</v>
      </c>
      <c r="E178" s="22" t="s">
        <v>145</v>
      </c>
      <c r="F178" s="58" t="s">
        <v>146</v>
      </c>
      <c r="G178" s="58" t="s">
        <v>147</v>
      </c>
      <c r="H178" s="22"/>
      <c r="I178" s="22"/>
      <c r="J178" s="86"/>
      <c r="K178" s="22"/>
      <c r="L178" s="22"/>
      <c r="M178" s="22"/>
      <c r="N178" s="22" t="s">
        <v>149</v>
      </c>
      <c r="O178" s="23"/>
      <c r="P178" s="38" t="s">
        <v>56</v>
      </c>
      <c r="Q178" s="29">
        <v>51</v>
      </c>
      <c r="R178" s="59"/>
      <c r="S178" s="40">
        <v>60</v>
      </c>
      <c r="T178" s="26"/>
      <c r="U178" s="26"/>
      <c r="V178" s="25">
        <v>60</v>
      </c>
      <c r="W178" s="26"/>
      <c r="X178" s="25">
        <v>60</v>
      </c>
      <c r="Y178" s="53">
        <f>T178+R178+Q178+U178+W178</f>
        <v>51</v>
      </c>
      <c r="Z178" s="27">
        <v>420</v>
      </c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>
        <f>SUM(AM178:AS178)</f>
        <v>0</v>
      </c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9">
        <f>Y178-AV178-AX178-AW178</f>
        <v>51</v>
      </c>
      <c r="AZ178" s="29">
        <f>'Layout for shadhous 3'!E52</f>
        <v>51</v>
      </c>
      <c r="BA178" s="26">
        <f>AL178+AG178+AA178+AT178</f>
        <v>0</v>
      </c>
      <c r="BB178" s="30">
        <f>BD178+AO178+AG178</f>
        <v>0</v>
      </c>
      <c r="BC178" s="30">
        <f>BD178+AS178</f>
        <v>0</v>
      </c>
      <c r="BD178" s="30">
        <f>IF(BA178&gt;0,Y178-BA178,BA178)</f>
        <v>0</v>
      </c>
      <c r="BE178" s="31">
        <v>41</v>
      </c>
      <c r="BF178" s="30" t="s">
        <v>57</v>
      </c>
      <c r="BG178" s="31">
        <f>BE178*Q178</f>
        <v>2091</v>
      </c>
      <c r="BH178" s="31">
        <f>BE178*R178*0.4</f>
        <v>0</v>
      </c>
      <c r="BI178" s="142"/>
      <c r="BJ178" s="142"/>
      <c r="BK178" s="32">
        <f>Y178*BE178</f>
        <v>2091</v>
      </c>
      <c r="BL178" s="25">
        <v>60</v>
      </c>
      <c r="BM178" s="25">
        <v>60</v>
      </c>
      <c r="BN178" s="25">
        <v>60</v>
      </c>
      <c r="BO178" s="25">
        <v>60</v>
      </c>
      <c r="BP178" s="25">
        <f>BE178*AV178</f>
        <v>0</v>
      </c>
      <c r="BQ178" s="25">
        <f>BE178*AX178</f>
        <v>0</v>
      </c>
      <c r="BR178" s="26"/>
      <c r="BS178" s="32"/>
    </row>
    <row r="179" spans="1:71" s="6" customFormat="1" ht="41.25" customHeight="1">
      <c r="A179" s="18">
        <v>176</v>
      </c>
      <c r="B179" s="18" t="s">
        <v>94</v>
      </c>
      <c r="C179" s="18" t="s">
        <v>144</v>
      </c>
      <c r="D179" s="18" t="s">
        <v>96</v>
      </c>
      <c r="E179" s="22" t="s">
        <v>150</v>
      </c>
      <c r="F179" s="58" t="s">
        <v>146</v>
      </c>
      <c r="G179" s="58" t="s">
        <v>147</v>
      </c>
      <c r="H179" s="22"/>
      <c r="I179" s="22"/>
      <c r="J179" s="86"/>
      <c r="K179" s="22"/>
      <c r="L179" s="22"/>
      <c r="M179" s="22"/>
      <c r="N179" s="22" t="s">
        <v>151</v>
      </c>
      <c r="O179" s="23"/>
      <c r="P179" s="38" t="s">
        <v>56</v>
      </c>
      <c r="Q179" s="148">
        <v>21</v>
      </c>
      <c r="R179" s="59"/>
      <c r="S179" s="40">
        <v>60</v>
      </c>
      <c r="T179" s="26"/>
      <c r="U179" s="26"/>
      <c r="V179" s="25">
        <v>60</v>
      </c>
      <c r="W179" s="26"/>
      <c r="X179" s="25">
        <v>60</v>
      </c>
      <c r="Y179" s="53">
        <f>T179+R179+Q179+U179+W179</f>
        <v>21</v>
      </c>
      <c r="Z179" s="27">
        <v>420</v>
      </c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>
        <f>SUM(AM179:AS179)</f>
        <v>0</v>
      </c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9">
        <f>Y179-AV179-AX179-AW179</f>
        <v>21</v>
      </c>
      <c r="AZ179" s="29"/>
      <c r="BA179" s="26">
        <f>AL179+AG179+AA179+AT179</f>
        <v>0</v>
      </c>
      <c r="BB179" s="30">
        <f>BD179+AO179+AG179</f>
        <v>0</v>
      </c>
      <c r="BC179" s="30">
        <f>BD179+AS179</f>
        <v>0</v>
      </c>
      <c r="BD179" s="30">
        <f>IF(BA179&gt;0,Y179-BA179,BA179)</f>
        <v>0</v>
      </c>
      <c r="BE179" s="31">
        <v>32</v>
      </c>
      <c r="BF179" s="30" t="s">
        <v>57</v>
      </c>
      <c r="BG179" s="31">
        <f>BE179*Q179</f>
        <v>672</v>
      </c>
      <c r="BH179" s="31">
        <f>BE179*R179*0.4</f>
        <v>0</v>
      </c>
      <c r="BI179" s="142"/>
      <c r="BJ179" s="142"/>
      <c r="BK179" s="32">
        <f>Y179*BE179</f>
        <v>672</v>
      </c>
      <c r="BL179" s="25">
        <v>60</v>
      </c>
      <c r="BM179" s="25">
        <v>60</v>
      </c>
      <c r="BN179" s="25">
        <v>60</v>
      </c>
      <c r="BO179" s="25">
        <v>60</v>
      </c>
      <c r="BP179" s="25">
        <f>BE179*AV179</f>
        <v>0</v>
      </c>
      <c r="BQ179" s="25">
        <f>BE179*AX179</f>
        <v>0</v>
      </c>
      <c r="BR179" s="26"/>
      <c r="BS179" s="32"/>
    </row>
    <row r="180" spans="1:71" s="6" customFormat="1" ht="41.25" customHeight="1">
      <c r="A180" s="18">
        <v>177</v>
      </c>
      <c r="B180" s="18" t="s">
        <v>94</v>
      </c>
      <c r="C180" s="18" t="s">
        <v>144</v>
      </c>
      <c r="D180" s="18" t="s">
        <v>96</v>
      </c>
      <c r="E180" s="22" t="s">
        <v>150</v>
      </c>
      <c r="F180" s="58" t="s">
        <v>146</v>
      </c>
      <c r="G180" s="58" t="s">
        <v>147</v>
      </c>
      <c r="H180" s="22"/>
      <c r="I180" s="22"/>
      <c r="J180" s="86"/>
      <c r="K180" s="22"/>
      <c r="L180" s="22"/>
      <c r="M180" s="22"/>
      <c r="N180" s="22" t="s">
        <v>152</v>
      </c>
      <c r="O180" s="23"/>
      <c r="P180" s="18" t="s">
        <v>56</v>
      </c>
      <c r="Q180" s="26"/>
      <c r="R180" s="26"/>
      <c r="S180" s="25">
        <v>60</v>
      </c>
      <c r="T180" s="26"/>
      <c r="U180" s="26"/>
      <c r="V180" s="25">
        <v>60</v>
      </c>
      <c r="W180" s="26"/>
      <c r="X180" s="25">
        <v>60</v>
      </c>
      <c r="Y180" s="26">
        <f>T180+R180+Q180+U180+W180</f>
        <v>0</v>
      </c>
      <c r="Z180" s="27">
        <v>420</v>
      </c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>
        <f>SUM(AM180:AS180)</f>
        <v>0</v>
      </c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72">
        <f>Y180-AV180-AX180-AW180</f>
        <v>0</v>
      </c>
      <c r="AZ180" s="68"/>
      <c r="BA180" s="26">
        <f>AL180+AG180+AA180+AT180</f>
        <v>0</v>
      </c>
      <c r="BB180" s="30">
        <f>BD180+AO180+AG180</f>
        <v>0</v>
      </c>
      <c r="BC180" s="30">
        <f>BD180+AS180</f>
        <v>0</v>
      </c>
      <c r="BD180" s="30">
        <f>IF(BA180&gt;0,Y180-BA180,BA180)</f>
        <v>0</v>
      </c>
      <c r="BE180" s="31">
        <v>41</v>
      </c>
      <c r="BF180" s="30" t="s">
        <v>57</v>
      </c>
      <c r="BG180" s="31">
        <f>BE180*Q180</f>
        <v>0</v>
      </c>
      <c r="BH180" s="31">
        <f>BE180*R180*0.4</f>
        <v>0</v>
      </c>
      <c r="BI180" s="142"/>
      <c r="BJ180" s="142"/>
      <c r="BK180" s="32">
        <f>Y180*BE180</f>
        <v>0</v>
      </c>
      <c r="BL180" s="25">
        <v>60</v>
      </c>
      <c r="BM180" s="25">
        <v>60</v>
      </c>
      <c r="BN180" s="25">
        <v>60</v>
      </c>
      <c r="BO180" s="25">
        <v>60</v>
      </c>
      <c r="BP180" s="25">
        <f>BE180*AV180</f>
        <v>0</v>
      </c>
      <c r="BQ180" s="25">
        <f>BE180*AX180</f>
        <v>0</v>
      </c>
      <c r="BR180" s="28"/>
      <c r="BS180" s="32"/>
    </row>
    <row r="181" spans="1:71" s="6" customFormat="1" ht="41.25" customHeight="1">
      <c r="A181" s="18">
        <v>178</v>
      </c>
      <c r="B181" s="18" t="s">
        <v>94</v>
      </c>
      <c r="C181" s="18" t="s">
        <v>144</v>
      </c>
      <c r="D181" s="18" t="s">
        <v>96</v>
      </c>
      <c r="E181" s="22" t="s">
        <v>153</v>
      </c>
      <c r="F181" s="58" t="s">
        <v>146</v>
      </c>
      <c r="G181" s="58" t="s">
        <v>147</v>
      </c>
      <c r="H181" s="22"/>
      <c r="I181" s="22"/>
      <c r="J181" s="86">
        <v>180</v>
      </c>
      <c r="K181" s="22" t="s">
        <v>199</v>
      </c>
      <c r="L181" s="22"/>
      <c r="M181" s="22"/>
      <c r="N181" s="22" t="s">
        <v>154</v>
      </c>
      <c r="O181" s="23"/>
      <c r="P181" s="18" t="s">
        <v>56</v>
      </c>
      <c r="Q181" s="26"/>
      <c r="R181" s="26"/>
      <c r="S181" s="25">
        <v>60</v>
      </c>
      <c r="T181" s="26"/>
      <c r="U181" s="26"/>
      <c r="V181" s="25">
        <v>60</v>
      </c>
      <c r="W181" s="26"/>
      <c r="X181" s="25">
        <v>60</v>
      </c>
      <c r="Y181" s="26">
        <f>T181+R181+Q181+U181+W181</f>
        <v>0</v>
      </c>
      <c r="Z181" s="27">
        <v>420</v>
      </c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>
        <f>SUM(AM181:AS181)</f>
        <v>0</v>
      </c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72">
        <f>Y181-AV181-AX181-AW181</f>
        <v>0</v>
      </c>
      <c r="AZ181" s="68"/>
      <c r="BA181" s="26">
        <f>AL181+AG181+AA181+AT181</f>
        <v>0</v>
      </c>
      <c r="BB181" s="30">
        <f>BD181+AO181+AG181</f>
        <v>0</v>
      </c>
      <c r="BC181" s="30">
        <f>BD181+AS181</f>
        <v>0</v>
      </c>
      <c r="BD181" s="30">
        <f>IF(BA181&gt;0,Y181-BA181,BA181)</f>
        <v>0</v>
      </c>
      <c r="BE181" s="31">
        <v>49</v>
      </c>
      <c r="BF181" s="30" t="s">
        <v>57</v>
      </c>
      <c r="BG181" s="31">
        <f>BE181*Q181</f>
        <v>0</v>
      </c>
      <c r="BH181" s="31">
        <f>BE181*R181*0.4</f>
        <v>0</v>
      </c>
      <c r="BI181" s="142"/>
      <c r="BJ181" s="142"/>
      <c r="BK181" s="32">
        <f>Y181*BE181</f>
        <v>0</v>
      </c>
      <c r="BL181" s="25">
        <v>60</v>
      </c>
      <c r="BM181" s="25">
        <v>60</v>
      </c>
      <c r="BN181" s="25">
        <v>60</v>
      </c>
      <c r="BO181" s="25">
        <v>60</v>
      </c>
      <c r="BP181" s="25">
        <f>BE181*AV181</f>
        <v>0</v>
      </c>
      <c r="BQ181" s="25">
        <f>BE181*AX181</f>
        <v>0</v>
      </c>
      <c r="BR181" s="26"/>
      <c r="BS181" s="32"/>
    </row>
    <row r="182" spans="1:71" s="6" customFormat="1" ht="41.25" customHeight="1">
      <c r="A182" s="18">
        <v>179</v>
      </c>
      <c r="B182" s="50" t="s">
        <v>94</v>
      </c>
      <c r="C182" s="44" t="s">
        <v>158</v>
      </c>
      <c r="D182" s="18" t="s">
        <v>96</v>
      </c>
      <c r="E182" s="50" t="s">
        <v>159</v>
      </c>
      <c r="F182" s="52" t="s">
        <v>123</v>
      </c>
      <c r="G182" s="52" t="s">
        <v>123</v>
      </c>
      <c r="H182" s="50"/>
      <c r="I182" s="50"/>
      <c r="J182" s="86">
        <v>250</v>
      </c>
      <c r="K182" s="22" t="s">
        <v>199</v>
      </c>
      <c r="L182" s="50"/>
      <c r="M182" s="22"/>
      <c r="N182" s="61" t="s">
        <v>160</v>
      </c>
      <c r="O182" s="23"/>
      <c r="P182" s="18" t="s">
        <v>56</v>
      </c>
      <c r="Q182" s="62"/>
      <c r="R182" s="26"/>
      <c r="S182" s="25"/>
      <c r="T182" s="62"/>
      <c r="U182" s="62"/>
      <c r="V182" s="25"/>
      <c r="W182" s="26"/>
      <c r="X182" s="25">
        <v>200</v>
      </c>
      <c r="Y182" s="26">
        <f>T182+R182+Q182+U182+W182</f>
        <v>0</v>
      </c>
      <c r="Z182" s="27">
        <v>200</v>
      </c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>
        <f>SUM(AM182:AS182)</f>
        <v>0</v>
      </c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72">
        <f>Y182-AV182-AX182-AW182</f>
        <v>0</v>
      </c>
      <c r="AZ182" s="68"/>
      <c r="BA182" s="26">
        <f>AL182+AG182+AA182+AT182</f>
        <v>0</v>
      </c>
      <c r="BB182" s="30">
        <f>BD182+AO182+AG182</f>
        <v>0</v>
      </c>
      <c r="BC182" s="30">
        <f>BD182+AS182</f>
        <v>0</v>
      </c>
      <c r="BD182" s="30">
        <f>IF(BA182&gt;0,Y182-BA182,BA182)</f>
        <v>0</v>
      </c>
      <c r="BE182" s="31">
        <v>23</v>
      </c>
      <c r="BF182" s="30" t="s">
        <v>57</v>
      </c>
      <c r="BG182" s="31">
        <f>BE182*Q182</f>
        <v>0</v>
      </c>
      <c r="BH182" s="31">
        <f>BE182*R182*0.4</f>
        <v>0</v>
      </c>
      <c r="BI182" s="142"/>
      <c r="BJ182" s="142"/>
      <c r="BK182" s="32">
        <f>Y182*BE182</f>
        <v>0</v>
      </c>
      <c r="BL182" s="25"/>
      <c r="BM182" s="25"/>
      <c r="BN182" s="25"/>
      <c r="BO182" s="25"/>
      <c r="BP182" s="25">
        <f>BE182*AV182</f>
        <v>0</v>
      </c>
      <c r="BQ182" s="25">
        <f>BE182*AX182</f>
        <v>0</v>
      </c>
      <c r="BR182" s="28"/>
      <c r="BS182" s="32"/>
    </row>
    <row r="183" spans="1:71" s="6" customFormat="1" ht="41.25" customHeight="1">
      <c r="A183" s="18">
        <v>180</v>
      </c>
      <c r="B183" s="50" t="s">
        <v>66</v>
      </c>
      <c r="C183" s="44" t="s">
        <v>139</v>
      </c>
      <c r="D183" s="56" t="s">
        <v>50</v>
      </c>
      <c r="E183" s="55" t="s">
        <v>161</v>
      </c>
      <c r="F183" s="21" t="s">
        <v>52</v>
      </c>
      <c r="G183" s="52" t="s">
        <v>123</v>
      </c>
      <c r="H183" s="50"/>
      <c r="I183" s="37" t="s">
        <v>162</v>
      </c>
      <c r="J183" s="22">
        <v>180</v>
      </c>
      <c r="K183" s="22" t="s">
        <v>564</v>
      </c>
      <c r="L183" s="55" t="s">
        <v>53</v>
      </c>
      <c r="M183" s="22"/>
      <c r="N183" s="61" t="s">
        <v>163</v>
      </c>
      <c r="O183" s="23" t="s">
        <v>164</v>
      </c>
      <c r="P183" s="18" t="s">
        <v>56</v>
      </c>
      <c r="Q183" s="73">
        <v>17</v>
      </c>
      <c r="R183" s="26"/>
      <c r="S183" s="25">
        <v>460</v>
      </c>
      <c r="T183" s="62"/>
      <c r="U183" s="62"/>
      <c r="V183" s="25">
        <v>460</v>
      </c>
      <c r="W183" s="26"/>
      <c r="X183" s="25">
        <v>276</v>
      </c>
      <c r="Y183" s="29">
        <f>T183+R183+Q183+U183+W183</f>
        <v>17</v>
      </c>
      <c r="Z183" s="27">
        <v>2300</v>
      </c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>
        <f>SUM(AM183:AS183)</f>
        <v>0</v>
      </c>
      <c r="AM183" s="26"/>
      <c r="AN183" s="26"/>
      <c r="AO183" s="26"/>
      <c r="AP183" s="26"/>
      <c r="AQ183" s="26"/>
      <c r="AR183" s="26"/>
      <c r="AS183" s="26"/>
      <c r="AT183" s="28"/>
      <c r="AU183" s="28"/>
      <c r="AV183" s="26"/>
      <c r="AW183" s="26"/>
      <c r="AX183" s="28"/>
      <c r="AY183" s="29">
        <f>Y183-AV183-AX183-AW183</f>
        <v>17</v>
      </c>
      <c r="AZ183" s="29"/>
      <c r="BA183" s="26">
        <f>AL183+AG183+AA183+AT183</f>
        <v>0</v>
      </c>
      <c r="BB183" s="30">
        <f>BD183+AO183+AG183</f>
        <v>0</v>
      </c>
      <c r="BC183" s="30">
        <f>BD183+AS183</f>
        <v>0</v>
      </c>
      <c r="BD183" s="30">
        <f>IF(BA183&gt;0,Y183-BA183,BA183)</f>
        <v>0</v>
      </c>
      <c r="BE183" s="31">
        <v>23</v>
      </c>
      <c r="BF183" s="30" t="s">
        <v>57</v>
      </c>
      <c r="BG183" s="31">
        <f>BE183*Q183</f>
        <v>391</v>
      </c>
      <c r="BH183" s="31">
        <f>BE183*R183*0.4</f>
        <v>0</v>
      </c>
      <c r="BI183" s="142"/>
      <c r="BJ183" s="142"/>
      <c r="BK183" s="32">
        <f>Y183*BE183</f>
        <v>391</v>
      </c>
      <c r="BL183" s="25">
        <v>276</v>
      </c>
      <c r="BM183" s="25">
        <v>276</v>
      </c>
      <c r="BN183" s="25">
        <v>276</v>
      </c>
      <c r="BO183" s="25">
        <v>276</v>
      </c>
      <c r="BP183" s="25">
        <f>BE183*AV183</f>
        <v>0</v>
      </c>
      <c r="BQ183" s="25">
        <f>BE183*AX183</f>
        <v>0</v>
      </c>
      <c r="BR183" s="28"/>
      <c r="BS183" s="32"/>
    </row>
    <row r="184" spans="1:71" s="6" customFormat="1" ht="41.25" customHeight="1">
      <c r="A184" s="18">
        <v>181</v>
      </c>
      <c r="B184" s="18" t="s">
        <v>94</v>
      </c>
      <c r="C184" s="18" t="s">
        <v>166</v>
      </c>
      <c r="D184" s="18" t="s">
        <v>96</v>
      </c>
      <c r="E184" s="22" t="s">
        <v>167</v>
      </c>
      <c r="F184" s="48" t="s">
        <v>98</v>
      </c>
      <c r="G184" s="52" t="s">
        <v>123</v>
      </c>
      <c r="H184" s="22"/>
      <c r="I184" s="22"/>
      <c r="J184" s="22">
        <v>140</v>
      </c>
      <c r="K184" s="22" t="s">
        <v>1073</v>
      </c>
      <c r="L184" s="22"/>
      <c r="M184" s="22"/>
      <c r="N184" s="22" t="s">
        <v>168</v>
      </c>
      <c r="O184" s="23"/>
      <c r="P184" s="38" t="s">
        <v>56</v>
      </c>
      <c r="Q184" s="29">
        <v>20</v>
      </c>
      <c r="R184" s="26"/>
      <c r="S184" s="40">
        <v>20</v>
      </c>
      <c r="T184" s="63">
        <v>20</v>
      </c>
      <c r="U184" s="26"/>
      <c r="V184" s="25">
        <v>20</v>
      </c>
      <c r="W184" s="63">
        <v>60</v>
      </c>
      <c r="X184" s="25">
        <v>20</v>
      </c>
      <c r="Y184" s="53">
        <f>T184+R184+Q184+U184+W184</f>
        <v>100</v>
      </c>
      <c r="Z184" s="27">
        <v>140</v>
      </c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>
        <f>SUM(AM184:AS184)</f>
        <v>0</v>
      </c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9">
        <f>Y184-AV184-AX184-AW184</f>
        <v>100</v>
      </c>
      <c r="AZ184" s="29">
        <f ca="1">'Layout for shadhous 1&amp;2'!C56</f>
        <v>100</v>
      </c>
      <c r="BA184" s="26">
        <f>AL184+AG184+AA184+AT184</f>
        <v>0</v>
      </c>
      <c r="BB184" s="30">
        <f>BD184+AO184+AG184</f>
        <v>0</v>
      </c>
      <c r="BC184" s="30">
        <f>BD184+AS184</f>
        <v>0</v>
      </c>
      <c r="BD184" s="30">
        <f>IF(BA184&gt;0,Y184-BA184,BA184)</f>
        <v>0</v>
      </c>
      <c r="BE184" s="31">
        <v>8</v>
      </c>
      <c r="BF184" s="30" t="s">
        <v>57</v>
      </c>
      <c r="BG184" s="31">
        <f>BE184*Q184</f>
        <v>160</v>
      </c>
      <c r="BH184" s="31">
        <f>BE184*R184*0.4</f>
        <v>0</v>
      </c>
      <c r="BI184" s="142"/>
      <c r="BJ184" s="142"/>
      <c r="BK184" s="32">
        <f>Y184*BE184</f>
        <v>800</v>
      </c>
      <c r="BL184" s="25">
        <v>20</v>
      </c>
      <c r="BM184" s="25">
        <v>20</v>
      </c>
      <c r="BN184" s="25">
        <v>20</v>
      </c>
      <c r="BO184" s="25">
        <v>20</v>
      </c>
      <c r="BP184" s="25">
        <f>BE184*AV184</f>
        <v>0</v>
      </c>
      <c r="BQ184" s="25">
        <f>BE184*AX184</f>
        <v>0</v>
      </c>
      <c r="BR184" s="26"/>
      <c r="BS184" s="32"/>
    </row>
    <row r="185" spans="1:71" s="6" customFormat="1" ht="41.25" customHeight="1">
      <c r="A185" s="18">
        <v>182</v>
      </c>
      <c r="B185" s="18" t="s">
        <v>58</v>
      </c>
      <c r="C185" s="33" t="s">
        <v>59</v>
      </c>
      <c r="D185" s="34" t="s">
        <v>60</v>
      </c>
      <c r="E185" s="20" t="s">
        <v>169</v>
      </c>
      <c r="F185" s="34" t="s">
        <v>62</v>
      </c>
      <c r="G185" s="21" t="s">
        <v>52</v>
      </c>
      <c r="H185" s="22"/>
      <c r="I185" s="22"/>
      <c r="J185" s="22">
        <v>140</v>
      </c>
      <c r="K185" s="22" t="s">
        <v>564</v>
      </c>
      <c r="L185" s="20" t="s">
        <v>53</v>
      </c>
      <c r="M185" s="22"/>
      <c r="N185" s="22" t="s">
        <v>170</v>
      </c>
      <c r="O185" s="23" t="s">
        <v>171</v>
      </c>
      <c r="P185" s="18" t="s">
        <v>65</v>
      </c>
      <c r="Q185" s="72"/>
      <c r="R185" s="72"/>
      <c r="S185" s="35">
        <v>6</v>
      </c>
      <c r="T185" s="26"/>
      <c r="U185" s="26"/>
      <c r="V185" s="35">
        <v>6</v>
      </c>
      <c r="W185" s="154"/>
      <c r="X185" s="35">
        <v>6</v>
      </c>
      <c r="Y185" s="26">
        <f>T185+R185+Q185+U185+W185</f>
        <v>0</v>
      </c>
      <c r="Z185" s="27">
        <v>42</v>
      </c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>
        <f>SUM(AM185:AS185)</f>
        <v>0</v>
      </c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72">
        <f>Y185-AV185-AX185-AW185</f>
        <v>0</v>
      </c>
      <c r="AZ185" s="68"/>
      <c r="BA185" s="26">
        <f>AL185+AG185+AA185+AT185</f>
        <v>0</v>
      </c>
      <c r="BB185" s="30">
        <f>BD185+AO185+AG185</f>
        <v>0</v>
      </c>
      <c r="BC185" s="30">
        <f>BD185+AS185</f>
        <v>0</v>
      </c>
      <c r="BD185" s="30">
        <f>IF(BA185&gt;0,Y185-BA185,BA185)</f>
        <v>0</v>
      </c>
      <c r="BE185" s="31">
        <v>37</v>
      </c>
      <c r="BF185" s="30" t="s">
        <v>57</v>
      </c>
      <c r="BG185" s="31">
        <f>BE185*Q185</f>
        <v>0</v>
      </c>
      <c r="BH185" s="31">
        <f>BE185*R185*0.4</f>
        <v>0</v>
      </c>
      <c r="BI185" s="142"/>
      <c r="BJ185" s="142"/>
      <c r="BK185" s="32">
        <f>Y185*BE185</f>
        <v>0</v>
      </c>
      <c r="BL185" s="35">
        <v>6</v>
      </c>
      <c r="BM185" s="35">
        <v>6</v>
      </c>
      <c r="BN185" s="35">
        <v>6</v>
      </c>
      <c r="BO185" s="35">
        <v>6</v>
      </c>
      <c r="BP185" s="25">
        <f>BE185*AV185</f>
        <v>0</v>
      </c>
      <c r="BQ185" s="25">
        <f>BE185*AX185</f>
        <v>0</v>
      </c>
      <c r="BR185" s="43"/>
      <c r="BS185" s="32"/>
    </row>
    <row r="186" spans="1:71" s="6" customFormat="1" ht="41.25" customHeight="1">
      <c r="A186" s="18">
        <v>183</v>
      </c>
      <c r="B186" s="18" t="s">
        <v>87</v>
      </c>
      <c r="C186" s="18" t="s">
        <v>172</v>
      </c>
      <c r="D186" s="47" t="s">
        <v>89</v>
      </c>
      <c r="E186" s="20" t="s">
        <v>173</v>
      </c>
      <c r="F186" s="21" t="s">
        <v>174</v>
      </c>
      <c r="G186" s="21" t="s">
        <v>52</v>
      </c>
      <c r="H186" s="22"/>
      <c r="I186" s="22" t="s">
        <v>175</v>
      </c>
      <c r="J186" s="22"/>
      <c r="K186" s="22"/>
      <c r="L186" s="20" t="s">
        <v>53</v>
      </c>
      <c r="M186" s="22"/>
      <c r="N186" s="22" t="s">
        <v>176</v>
      </c>
      <c r="O186" s="23" t="s">
        <v>171</v>
      </c>
      <c r="P186" s="18" t="s">
        <v>56</v>
      </c>
      <c r="Q186" s="72"/>
      <c r="R186" s="72"/>
      <c r="S186" s="25">
        <v>200</v>
      </c>
      <c r="T186" s="26"/>
      <c r="U186" s="26"/>
      <c r="V186" s="25"/>
      <c r="W186" s="26"/>
      <c r="X186" s="25"/>
      <c r="Y186" s="26">
        <f>T186+R186+Q186+U186+W186</f>
        <v>0</v>
      </c>
      <c r="Z186" s="27">
        <v>200</v>
      </c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>
        <f>SUM(AM186:AS186)</f>
        <v>0</v>
      </c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72">
        <f>Y186-AV186-AX186-AW186</f>
        <v>0</v>
      </c>
      <c r="AZ186" s="68"/>
      <c r="BA186" s="26">
        <f>AL186+AG186+AA186+AT186</f>
        <v>0</v>
      </c>
      <c r="BB186" s="30">
        <f>BD186+AO186+AG186</f>
        <v>0</v>
      </c>
      <c r="BC186" s="30">
        <f>BD186+AS186</f>
        <v>0</v>
      </c>
      <c r="BD186" s="30">
        <f>IF(BA186&gt;0,Y186-BA186,BA186)</f>
        <v>0</v>
      </c>
      <c r="BE186" s="31">
        <v>3.75</v>
      </c>
      <c r="BF186" s="30" t="s">
        <v>57</v>
      </c>
      <c r="BG186" s="31">
        <f>BE186*Q186</f>
        <v>0</v>
      </c>
      <c r="BH186" s="31">
        <f>BE186*R186*0.4</f>
        <v>0</v>
      </c>
      <c r="BI186" s="142"/>
      <c r="BJ186" s="142"/>
      <c r="BK186" s="32">
        <f>Y186*BE186</f>
        <v>0</v>
      </c>
      <c r="BL186" s="25"/>
      <c r="BM186" s="25"/>
      <c r="BN186" s="25"/>
      <c r="BO186" s="25"/>
      <c r="BP186" s="25">
        <f>BE186*AV186</f>
        <v>0</v>
      </c>
      <c r="BQ186" s="25">
        <f>BE186*AX186</f>
        <v>0</v>
      </c>
      <c r="BR186" s="28"/>
      <c r="BS186" s="32"/>
    </row>
    <row r="187" spans="1:71" s="6" customFormat="1" ht="41.25" customHeight="1">
      <c r="A187" s="18">
        <v>184</v>
      </c>
      <c r="B187" s="18" t="s">
        <v>94</v>
      </c>
      <c r="C187" s="18" t="s">
        <v>177</v>
      </c>
      <c r="D187" s="18" t="s">
        <v>96</v>
      </c>
      <c r="E187" s="20" t="s">
        <v>178</v>
      </c>
      <c r="F187" s="52" t="s">
        <v>123</v>
      </c>
      <c r="G187" s="21" t="s">
        <v>52</v>
      </c>
      <c r="H187" s="22"/>
      <c r="I187" s="22"/>
      <c r="J187" s="22">
        <v>120</v>
      </c>
      <c r="K187" s="22" t="s">
        <v>165</v>
      </c>
      <c r="L187" s="20" t="s">
        <v>53</v>
      </c>
      <c r="M187" s="22"/>
      <c r="N187" s="22" t="s">
        <v>179</v>
      </c>
      <c r="O187" s="23" t="s">
        <v>171</v>
      </c>
      <c r="P187" s="18" t="s">
        <v>56</v>
      </c>
      <c r="Q187" s="72"/>
      <c r="R187" s="72"/>
      <c r="S187" s="25">
        <v>20</v>
      </c>
      <c r="T187" s="26"/>
      <c r="U187" s="26"/>
      <c r="V187" s="25">
        <v>20</v>
      </c>
      <c r="W187" s="26"/>
      <c r="X187" s="25">
        <v>20</v>
      </c>
      <c r="Y187" s="26">
        <f>T187+R187+Q187+U187+W187</f>
        <v>0</v>
      </c>
      <c r="Z187" s="27">
        <v>140</v>
      </c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>
        <f>SUM(AM187:AS187)</f>
        <v>0</v>
      </c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72">
        <f>Y187-AV187-AX187-AW187</f>
        <v>0</v>
      </c>
      <c r="AZ187" s="68"/>
      <c r="BA187" s="26">
        <f>AL187+AG187+AA187+AT187</f>
        <v>0</v>
      </c>
      <c r="BB187" s="30">
        <f>BD187+AO187+AG187</f>
        <v>0</v>
      </c>
      <c r="BC187" s="30">
        <f>BD187+AS187</f>
        <v>0</v>
      </c>
      <c r="BD187" s="30">
        <f>IF(BA187&gt;0,Y187-BA187,BA187)</f>
        <v>0</v>
      </c>
      <c r="BE187" s="31">
        <v>3</v>
      </c>
      <c r="BF187" s="30" t="s">
        <v>57</v>
      </c>
      <c r="BG187" s="31">
        <f>BE187*Q187</f>
        <v>0</v>
      </c>
      <c r="BH187" s="31">
        <f>BE187*R187*0.4</f>
        <v>0</v>
      </c>
      <c r="BI187" s="142"/>
      <c r="BJ187" s="142"/>
      <c r="BK187" s="32">
        <f>Y187*BE187</f>
        <v>0</v>
      </c>
      <c r="BL187" s="25">
        <v>20</v>
      </c>
      <c r="BM187" s="25">
        <v>20</v>
      </c>
      <c r="BN187" s="25">
        <v>20</v>
      </c>
      <c r="BO187" s="25">
        <v>20</v>
      </c>
      <c r="BP187" s="25">
        <f>BE187*AV187</f>
        <v>0</v>
      </c>
      <c r="BQ187" s="25">
        <f>BE187*AX187</f>
        <v>0</v>
      </c>
      <c r="BR187" s="26"/>
      <c r="BS187" s="32"/>
    </row>
    <row r="188" spans="1:71" s="6" customFormat="1" ht="41.25" customHeight="1">
      <c r="A188" s="18">
        <v>185</v>
      </c>
      <c r="B188" s="18" t="s">
        <v>87</v>
      </c>
      <c r="C188" s="18" t="s">
        <v>172</v>
      </c>
      <c r="D188" s="47" t="s">
        <v>89</v>
      </c>
      <c r="E188" s="20" t="s">
        <v>173</v>
      </c>
      <c r="F188" s="21" t="s">
        <v>52</v>
      </c>
      <c r="G188" s="21" t="s">
        <v>52</v>
      </c>
      <c r="H188" s="22"/>
      <c r="I188" s="22" t="s">
        <v>175</v>
      </c>
      <c r="J188" s="22">
        <v>320</v>
      </c>
      <c r="K188" s="22" t="s">
        <v>75</v>
      </c>
      <c r="L188" s="20" t="s">
        <v>53</v>
      </c>
      <c r="M188" s="22"/>
      <c r="N188" s="22" t="s">
        <v>180</v>
      </c>
      <c r="O188" s="23" t="s">
        <v>181</v>
      </c>
      <c r="P188" s="18" t="s">
        <v>56</v>
      </c>
      <c r="Q188" s="72"/>
      <c r="R188" s="72"/>
      <c r="S188" s="25">
        <v>200</v>
      </c>
      <c r="T188" s="26"/>
      <c r="U188" s="26"/>
      <c r="V188" s="25"/>
      <c r="W188" s="26"/>
      <c r="X188" s="25"/>
      <c r="Y188" s="26">
        <f>T188+R188+Q188+U188+W188</f>
        <v>0</v>
      </c>
      <c r="Z188" s="27">
        <v>200</v>
      </c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>
        <f>SUM(AM188:AS188)</f>
        <v>0</v>
      </c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72">
        <f>Y188-AV188-AX188-AW188</f>
        <v>0</v>
      </c>
      <c r="AZ188" s="68"/>
      <c r="BA188" s="26">
        <f>AL188+AG188+AA188+AT188</f>
        <v>0</v>
      </c>
      <c r="BB188" s="30">
        <f>BD188+AO188+AG188</f>
        <v>0</v>
      </c>
      <c r="BC188" s="30">
        <f>BD188+AS188</f>
        <v>0</v>
      </c>
      <c r="BD188" s="30">
        <f>IF(BA188&gt;0,Y188-BA188,BA188)</f>
        <v>0</v>
      </c>
      <c r="BE188" s="31">
        <v>3.75</v>
      </c>
      <c r="BF188" s="30" t="s">
        <v>57</v>
      </c>
      <c r="BG188" s="31">
        <f>BE188*Q188</f>
        <v>0</v>
      </c>
      <c r="BH188" s="31">
        <f>BE188*R188*0.4</f>
        <v>0</v>
      </c>
      <c r="BI188" s="31"/>
      <c r="BJ188" s="31"/>
      <c r="BK188" s="32">
        <f>Y188*BE188</f>
        <v>0</v>
      </c>
      <c r="BL188" s="25"/>
      <c r="BM188" s="25"/>
      <c r="BN188" s="25"/>
      <c r="BO188" s="25"/>
      <c r="BP188" s="25">
        <f>BE188*AV188</f>
        <v>0</v>
      </c>
      <c r="BQ188" s="25">
        <f>BE188*AX188</f>
        <v>0</v>
      </c>
      <c r="BR188" s="26"/>
      <c r="BS188" s="32"/>
    </row>
    <row r="189" spans="1:71" s="6" customFormat="1" ht="41.25" customHeight="1">
      <c r="A189" s="18">
        <v>186</v>
      </c>
      <c r="B189" s="18" t="s">
        <v>58</v>
      </c>
      <c r="C189" s="33" t="s">
        <v>59</v>
      </c>
      <c r="D189" s="34" t="s">
        <v>60</v>
      </c>
      <c r="E189" s="20" t="s">
        <v>169</v>
      </c>
      <c r="F189" s="34" t="s">
        <v>62</v>
      </c>
      <c r="G189" s="21" t="s">
        <v>52</v>
      </c>
      <c r="H189" s="22"/>
      <c r="I189" s="22"/>
      <c r="J189" s="22">
        <v>250</v>
      </c>
      <c r="K189" s="22" t="s">
        <v>80</v>
      </c>
      <c r="L189" s="20" t="s">
        <v>53</v>
      </c>
      <c r="M189" s="22"/>
      <c r="N189" s="22" t="s">
        <v>182</v>
      </c>
      <c r="O189" s="23" t="s">
        <v>181</v>
      </c>
      <c r="P189" s="18" t="s">
        <v>65</v>
      </c>
      <c r="Q189" s="72"/>
      <c r="R189" s="72"/>
      <c r="S189" s="35">
        <v>12</v>
      </c>
      <c r="T189" s="26"/>
      <c r="U189" s="26"/>
      <c r="V189" s="35">
        <v>12</v>
      </c>
      <c r="W189" s="154"/>
      <c r="X189" s="35">
        <v>12</v>
      </c>
      <c r="Y189" s="26">
        <f>T189+R189+Q189+U189+W189</f>
        <v>0</v>
      </c>
      <c r="Z189" s="27">
        <v>84</v>
      </c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>
        <f>SUM(AM189:AS189)</f>
        <v>0</v>
      </c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72">
        <f>Y189-AV189-AX189-AW189</f>
        <v>0</v>
      </c>
      <c r="AZ189" s="68"/>
      <c r="BA189" s="26">
        <f>AL189+AG189+AA189+AT189</f>
        <v>0</v>
      </c>
      <c r="BB189" s="30">
        <f>BD189+AO189+AG189</f>
        <v>0</v>
      </c>
      <c r="BC189" s="30">
        <f>BD189+AS189</f>
        <v>0</v>
      </c>
      <c r="BD189" s="30">
        <f>IF(BA189&gt;0,Y189-BA189,BA189)</f>
        <v>0</v>
      </c>
      <c r="BE189" s="31">
        <v>37</v>
      </c>
      <c r="BF189" s="30" t="s">
        <v>57</v>
      </c>
      <c r="BG189" s="31">
        <f>BE189*Q189</f>
        <v>0</v>
      </c>
      <c r="BH189" s="31">
        <f>BE189*R189*0.4</f>
        <v>0</v>
      </c>
      <c r="BI189" s="31"/>
      <c r="BJ189" s="31"/>
      <c r="BK189" s="32">
        <f>Y189*BE189</f>
        <v>0</v>
      </c>
      <c r="BL189" s="35">
        <v>12</v>
      </c>
      <c r="BM189" s="35">
        <v>12</v>
      </c>
      <c r="BN189" s="35">
        <v>12</v>
      </c>
      <c r="BO189" s="35">
        <v>12</v>
      </c>
      <c r="BP189" s="25">
        <f>BE189*AV189</f>
        <v>0</v>
      </c>
      <c r="BQ189" s="25">
        <f>BE189*AX189</f>
        <v>0</v>
      </c>
      <c r="BR189" s="26"/>
      <c r="BS189" s="32"/>
    </row>
    <row r="190" spans="1:71" s="6" customFormat="1" ht="41.25" customHeight="1">
      <c r="A190" s="18">
        <v>187</v>
      </c>
      <c r="B190" s="18" t="s">
        <v>58</v>
      </c>
      <c r="C190" s="33" t="s">
        <v>59</v>
      </c>
      <c r="D190" s="34" t="s">
        <v>60</v>
      </c>
      <c r="E190" s="20" t="s">
        <v>183</v>
      </c>
      <c r="F190" s="34" t="s">
        <v>62</v>
      </c>
      <c r="G190" s="21" t="s">
        <v>52</v>
      </c>
      <c r="H190" s="22"/>
      <c r="I190" s="22"/>
      <c r="J190" s="22">
        <v>320</v>
      </c>
      <c r="K190" s="22" t="s">
        <v>86</v>
      </c>
      <c r="L190" s="20" t="s">
        <v>53</v>
      </c>
      <c r="M190" s="22"/>
      <c r="N190" s="22" t="s">
        <v>184</v>
      </c>
      <c r="O190" s="23" t="s">
        <v>171</v>
      </c>
      <c r="P190" s="18" t="s">
        <v>65</v>
      </c>
      <c r="Q190" s="72"/>
      <c r="R190" s="72"/>
      <c r="S190" s="35">
        <v>18</v>
      </c>
      <c r="T190" s="26"/>
      <c r="U190" s="26"/>
      <c r="V190" s="35">
        <v>18</v>
      </c>
      <c r="W190" s="154"/>
      <c r="X190" s="35">
        <v>18</v>
      </c>
      <c r="Y190" s="26">
        <f>T190+R190+Q190+U190+W190</f>
        <v>0</v>
      </c>
      <c r="Z190" s="27">
        <v>126</v>
      </c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>
        <f>SUM(AM190:AS190)</f>
        <v>0</v>
      </c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72">
        <f>Y190-AV190-AX190-AW190</f>
        <v>0</v>
      </c>
      <c r="AZ190" s="68"/>
      <c r="BA190" s="26">
        <f>AL190+AG190+AA190+AT190</f>
        <v>0</v>
      </c>
      <c r="BB190" s="30">
        <f>BD190+AO190+AG190</f>
        <v>0</v>
      </c>
      <c r="BC190" s="30">
        <f>BD190+AS190</f>
        <v>0</v>
      </c>
      <c r="BD190" s="30">
        <f>IF(BA190&gt;0,Y190-BA190,BA190)</f>
        <v>0</v>
      </c>
      <c r="BE190" s="31">
        <v>187</v>
      </c>
      <c r="BF190" s="30" t="s">
        <v>57</v>
      </c>
      <c r="BG190" s="31">
        <f>BE190*Q190</f>
        <v>0</v>
      </c>
      <c r="BH190" s="31">
        <f>BE190*R190*0.4</f>
        <v>0</v>
      </c>
      <c r="BI190" s="31"/>
      <c r="BJ190" s="31"/>
      <c r="BK190" s="32">
        <f>Y190*BE190</f>
        <v>0</v>
      </c>
      <c r="BL190" s="35">
        <v>18</v>
      </c>
      <c r="BM190" s="35">
        <v>18</v>
      </c>
      <c r="BN190" s="35">
        <v>18</v>
      </c>
      <c r="BO190" s="35">
        <v>18</v>
      </c>
      <c r="BP190" s="25">
        <f>BE190*AV190</f>
        <v>0</v>
      </c>
      <c r="BQ190" s="25">
        <f>BE190*AX190</f>
        <v>0</v>
      </c>
      <c r="BR190" s="26"/>
      <c r="BS190" s="32"/>
    </row>
    <row r="191" spans="1:71" s="6" customFormat="1" ht="41.25" customHeight="1">
      <c r="A191" s="18">
        <v>188</v>
      </c>
      <c r="B191" s="18" t="s">
        <v>87</v>
      </c>
      <c r="C191" s="18" t="s">
        <v>172</v>
      </c>
      <c r="D191" s="47" t="s">
        <v>89</v>
      </c>
      <c r="E191" s="20" t="s">
        <v>185</v>
      </c>
      <c r="F191" s="21" t="s">
        <v>52</v>
      </c>
      <c r="G191" s="21" t="s">
        <v>52</v>
      </c>
      <c r="H191" s="22"/>
      <c r="I191" s="22" t="s">
        <v>175</v>
      </c>
      <c r="J191" s="22">
        <v>320</v>
      </c>
      <c r="K191" s="22" t="s">
        <v>107</v>
      </c>
      <c r="L191" s="20" t="s">
        <v>53</v>
      </c>
      <c r="M191" s="22"/>
      <c r="N191" s="22" t="s">
        <v>186</v>
      </c>
      <c r="O191" s="23" t="s">
        <v>187</v>
      </c>
      <c r="P191" s="18" t="s">
        <v>56</v>
      </c>
      <c r="Q191" s="72"/>
      <c r="R191" s="72"/>
      <c r="S191" s="25">
        <v>200</v>
      </c>
      <c r="T191" s="26"/>
      <c r="U191" s="26"/>
      <c r="V191" s="25"/>
      <c r="W191" s="26"/>
      <c r="X191" s="25"/>
      <c r="Y191" s="26">
        <f>T191+R191+Q191+U191+W191</f>
        <v>0</v>
      </c>
      <c r="Z191" s="27">
        <v>200</v>
      </c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>
        <f>SUM(AM191:AS191)</f>
        <v>0</v>
      </c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72">
        <f>Y191-AV191-AX191-AW191</f>
        <v>0</v>
      </c>
      <c r="AZ191" s="68"/>
      <c r="BA191" s="26">
        <f>AL191+AG191+AA191+AT191</f>
        <v>0</v>
      </c>
      <c r="BB191" s="30">
        <f>BD191+AO191+AG191</f>
        <v>0</v>
      </c>
      <c r="BC191" s="30">
        <f>BD191+AS191</f>
        <v>0</v>
      </c>
      <c r="BD191" s="30">
        <f>IF(BA191&gt;0,Y191-BA191,BA191)</f>
        <v>0</v>
      </c>
      <c r="BE191" s="31">
        <v>3.75</v>
      </c>
      <c r="BF191" s="30" t="s">
        <v>57</v>
      </c>
      <c r="BG191" s="31">
        <f>BE191*Q191</f>
        <v>0</v>
      </c>
      <c r="BH191" s="31">
        <f>BE191*R191*0.4</f>
        <v>0</v>
      </c>
      <c r="BI191" s="142"/>
      <c r="BJ191" s="142"/>
      <c r="BK191" s="32">
        <f>Y191*BE191</f>
        <v>0</v>
      </c>
      <c r="BL191" s="25"/>
      <c r="BM191" s="25"/>
      <c r="BN191" s="25"/>
      <c r="BO191" s="25"/>
      <c r="BP191" s="25">
        <f>BE191*AV191</f>
        <v>0</v>
      </c>
      <c r="BQ191" s="25">
        <f>BE191*AX191</f>
        <v>0</v>
      </c>
      <c r="BR191" s="26"/>
      <c r="BS191" s="32"/>
    </row>
    <row r="192" spans="1:71" s="6" customFormat="1" ht="41.25" customHeight="1">
      <c r="A192" s="18">
        <v>189</v>
      </c>
      <c r="B192" s="18" t="s">
        <v>58</v>
      </c>
      <c r="C192" s="33" t="s">
        <v>59</v>
      </c>
      <c r="D192" s="34" t="s">
        <v>60</v>
      </c>
      <c r="E192" s="20" t="s">
        <v>183</v>
      </c>
      <c r="F192" s="34" t="s">
        <v>62</v>
      </c>
      <c r="G192" s="21" t="s">
        <v>52</v>
      </c>
      <c r="H192" s="22"/>
      <c r="I192" s="22"/>
      <c r="J192" s="22">
        <v>300</v>
      </c>
      <c r="K192" s="22" t="s">
        <v>110</v>
      </c>
      <c r="L192" s="20" t="s">
        <v>53</v>
      </c>
      <c r="M192" s="22"/>
      <c r="N192" s="22" t="s">
        <v>188</v>
      </c>
      <c r="O192" s="23" t="s">
        <v>187</v>
      </c>
      <c r="P192" s="18" t="s">
        <v>65</v>
      </c>
      <c r="Q192" s="72"/>
      <c r="R192" s="72"/>
      <c r="S192" s="35">
        <v>11</v>
      </c>
      <c r="T192" s="26"/>
      <c r="U192" s="26"/>
      <c r="V192" s="35">
        <v>11</v>
      </c>
      <c r="W192" s="154"/>
      <c r="X192" s="35">
        <v>11</v>
      </c>
      <c r="Y192" s="26">
        <f>T192+R192+Q192+U192+W192</f>
        <v>0</v>
      </c>
      <c r="Z192" s="27">
        <v>77</v>
      </c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>
        <f>SUM(AM192:AS192)</f>
        <v>0</v>
      </c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72">
        <f>Y192-AV192-AX192-AW192</f>
        <v>0</v>
      </c>
      <c r="AZ192" s="68"/>
      <c r="BA192" s="26">
        <f>AL192+AG192+AA192+AT192</f>
        <v>0</v>
      </c>
      <c r="BB192" s="30">
        <f>BD192+AO192+AG192</f>
        <v>0</v>
      </c>
      <c r="BC192" s="30">
        <f>BD192+AS192</f>
        <v>0</v>
      </c>
      <c r="BD192" s="30">
        <f>IF(BA192&gt;0,Y192-BA192,BA192)</f>
        <v>0</v>
      </c>
      <c r="BE192" s="31">
        <v>37</v>
      </c>
      <c r="BF192" s="30" t="s">
        <v>57</v>
      </c>
      <c r="BG192" s="31">
        <f>BE192*Q192</f>
        <v>0</v>
      </c>
      <c r="BH192" s="31">
        <f>BE192*R192*0.4</f>
        <v>0</v>
      </c>
      <c r="BI192" s="142"/>
      <c r="BJ192" s="142"/>
      <c r="BK192" s="32">
        <f>Y192*BE192</f>
        <v>0</v>
      </c>
      <c r="BL192" s="35">
        <v>11</v>
      </c>
      <c r="BM192" s="35">
        <v>11</v>
      </c>
      <c r="BN192" s="35">
        <v>11</v>
      </c>
      <c r="BO192" s="35">
        <v>11</v>
      </c>
      <c r="BP192" s="25">
        <f>BE192*AV192</f>
        <v>0</v>
      </c>
      <c r="BQ192" s="25">
        <f>BE192*AX192</f>
        <v>0</v>
      </c>
      <c r="BR192" s="26"/>
      <c r="BS192" s="32"/>
    </row>
    <row r="193" spans="1:71" s="6" customFormat="1" ht="41.25" customHeight="1">
      <c r="A193" s="18">
        <v>190</v>
      </c>
      <c r="B193" s="18" t="s">
        <v>58</v>
      </c>
      <c r="C193" s="33" t="s">
        <v>59</v>
      </c>
      <c r="D193" s="34" t="s">
        <v>60</v>
      </c>
      <c r="E193" s="20" t="s">
        <v>189</v>
      </c>
      <c r="F193" s="34" t="s">
        <v>62</v>
      </c>
      <c r="G193" s="21" t="s">
        <v>52</v>
      </c>
      <c r="H193" s="22"/>
      <c r="I193" s="22"/>
      <c r="J193" s="22">
        <v>320</v>
      </c>
      <c r="K193" s="22" t="s">
        <v>116</v>
      </c>
      <c r="L193" s="20" t="s">
        <v>53</v>
      </c>
      <c r="M193" s="22"/>
      <c r="N193" s="22" t="s">
        <v>190</v>
      </c>
      <c r="O193" s="23" t="s">
        <v>171</v>
      </c>
      <c r="P193" s="18" t="s">
        <v>65</v>
      </c>
      <c r="Q193" s="72"/>
      <c r="R193" s="72"/>
      <c r="S193" s="35">
        <v>3</v>
      </c>
      <c r="T193" s="26"/>
      <c r="U193" s="26"/>
      <c r="V193" s="35">
        <v>3</v>
      </c>
      <c r="W193" s="154"/>
      <c r="X193" s="35">
        <v>3</v>
      </c>
      <c r="Y193" s="26">
        <f>T193+R193+Q193+U193+W193</f>
        <v>0</v>
      </c>
      <c r="Z193" s="27">
        <v>21</v>
      </c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>
        <f>SUM(AM193:AS193)</f>
        <v>0</v>
      </c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72">
        <f>Y193-AV193-AX193-AW193</f>
        <v>0</v>
      </c>
      <c r="AZ193" s="68"/>
      <c r="BA193" s="26">
        <f>AL193+AG193+AA193+AT193</f>
        <v>0</v>
      </c>
      <c r="BB193" s="30">
        <f>BD193+AO193+AG193</f>
        <v>0</v>
      </c>
      <c r="BC193" s="30">
        <f>BD193+AS193</f>
        <v>0</v>
      </c>
      <c r="BD193" s="30">
        <f>IF(BA193&gt;0,Y193-BA193,BA193)</f>
        <v>0</v>
      </c>
      <c r="BE193" s="31">
        <v>75</v>
      </c>
      <c r="BF193" s="30" t="s">
        <v>57</v>
      </c>
      <c r="BG193" s="31">
        <f>BE193*Q193</f>
        <v>0</v>
      </c>
      <c r="BH193" s="31">
        <f>BE193*R193*0.4</f>
        <v>0</v>
      </c>
      <c r="BI193" s="31"/>
      <c r="BJ193" s="31"/>
      <c r="BK193" s="32">
        <f>Y193*BE193</f>
        <v>0</v>
      </c>
      <c r="BL193" s="35">
        <v>3</v>
      </c>
      <c r="BM193" s="35">
        <v>3</v>
      </c>
      <c r="BN193" s="35">
        <v>3</v>
      </c>
      <c r="BO193" s="35">
        <v>3</v>
      </c>
      <c r="BP193" s="25">
        <f>BE193*AV193</f>
        <v>0</v>
      </c>
      <c r="BQ193" s="25">
        <f>BE193*AX193</f>
        <v>0</v>
      </c>
      <c r="BR193" s="26"/>
      <c r="BS193" s="32"/>
    </row>
    <row r="194" spans="1:71" s="6" customFormat="1" ht="41.25" customHeight="1">
      <c r="A194" s="18">
        <v>191</v>
      </c>
      <c r="B194" s="18" t="s">
        <v>87</v>
      </c>
      <c r="C194" s="18" t="s">
        <v>172</v>
      </c>
      <c r="D194" s="47" t="s">
        <v>89</v>
      </c>
      <c r="E194" s="22" t="s">
        <v>185</v>
      </c>
      <c r="F194" s="19" t="s">
        <v>197</v>
      </c>
      <c r="G194" s="19" t="s">
        <v>147</v>
      </c>
      <c r="H194" s="22">
        <v>300</v>
      </c>
      <c r="I194" s="22">
        <v>500</v>
      </c>
      <c r="J194" s="22"/>
      <c r="K194" s="22"/>
      <c r="L194" s="22"/>
      <c r="M194" s="22"/>
      <c r="N194" s="22" t="s">
        <v>198</v>
      </c>
      <c r="O194" s="23" t="s">
        <v>195</v>
      </c>
      <c r="P194" s="18" t="s">
        <v>56</v>
      </c>
      <c r="Q194" s="29">
        <v>100</v>
      </c>
      <c r="R194" s="72"/>
      <c r="S194" s="40">
        <v>100</v>
      </c>
      <c r="T194" s="26"/>
      <c r="U194" s="26"/>
      <c r="V194" s="25"/>
      <c r="W194" s="26"/>
      <c r="X194" s="25"/>
      <c r="Y194" s="53">
        <f>T194+R194+Q194+U194+W194</f>
        <v>100</v>
      </c>
      <c r="Z194" s="27">
        <v>100</v>
      </c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>
        <f>SUM(AM194:AS194)</f>
        <v>0</v>
      </c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9">
        <f>Y194-AV194-AX194-AW194</f>
        <v>100</v>
      </c>
      <c r="AZ194" s="29"/>
      <c r="BA194" s="26">
        <f>AL194+AG194+AA194+AT194</f>
        <v>0</v>
      </c>
      <c r="BB194" s="30">
        <f>BD194+AO194+AG194</f>
        <v>0</v>
      </c>
      <c r="BC194" s="30">
        <f>BD194+AS194</f>
        <v>0</v>
      </c>
      <c r="BD194" s="30">
        <f>IF(BA194&gt;0,Y194-BA194,BA194)</f>
        <v>0</v>
      </c>
      <c r="BE194" s="31">
        <v>37</v>
      </c>
      <c r="BF194" s="30" t="s">
        <v>57</v>
      </c>
      <c r="BG194" s="31">
        <f>BE194*Q194</f>
        <v>3700</v>
      </c>
      <c r="BH194" s="31">
        <f>BE194*R194*0.4</f>
        <v>0</v>
      </c>
      <c r="BI194" s="142"/>
      <c r="BJ194" s="142"/>
      <c r="BK194" s="32">
        <f>Y194*BE194</f>
        <v>3700</v>
      </c>
      <c r="BL194" s="25"/>
      <c r="BM194" s="25"/>
      <c r="BN194" s="25"/>
      <c r="BO194" s="25"/>
      <c r="BP194" s="25">
        <f>BE194*AV194</f>
        <v>0</v>
      </c>
      <c r="BQ194" s="25">
        <f>BE194*AX194</f>
        <v>0</v>
      </c>
      <c r="BR194" s="26"/>
      <c r="BS194" s="32"/>
    </row>
    <row r="195" spans="1:71" s="6" customFormat="1" ht="41.25" customHeight="1">
      <c r="A195" s="18">
        <v>192</v>
      </c>
      <c r="B195" s="18" t="s">
        <v>94</v>
      </c>
      <c r="C195" s="18" t="s">
        <v>200</v>
      </c>
      <c r="D195" s="18" t="s">
        <v>96</v>
      </c>
      <c r="E195" s="22" t="s">
        <v>201</v>
      </c>
      <c r="F195" s="48" t="s">
        <v>98</v>
      </c>
      <c r="G195" s="48" t="s">
        <v>202</v>
      </c>
      <c r="H195" s="22"/>
      <c r="I195" s="22"/>
      <c r="J195" s="22"/>
      <c r="K195" s="22" t="s">
        <v>196</v>
      </c>
      <c r="L195" s="22"/>
      <c r="M195" s="22"/>
      <c r="N195" s="22" t="s">
        <v>203</v>
      </c>
      <c r="O195" s="23"/>
      <c r="P195" s="38" t="s">
        <v>56</v>
      </c>
      <c r="Q195" s="29">
        <v>40</v>
      </c>
      <c r="R195" s="72"/>
      <c r="S195" s="40">
        <v>40</v>
      </c>
      <c r="T195" s="29">
        <v>40</v>
      </c>
      <c r="U195" s="26"/>
      <c r="V195" s="25">
        <v>40</v>
      </c>
      <c r="W195" s="29">
        <v>40</v>
      </c>
      <c r="X195" s="25">
        <v>40</v>
      </c>
      <c r="Y195" s="53">
        <f>T195+R195+Q195+U195+W195</f>
        <v>120</v>
      </c>
      <c r="Z195" s="27">
        <v>280</v>
      </c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41">
        <f>SUM(AM195:AS195)</f>
        <v>104</v>
      </c>
      <c r="AM195" s="41">
        <v>104</v>
      </c>
      <c r="AN195" s="26"/>
      <c r="AO195" s="26"/>
      <c r="AP195" s="26"/>
      <c r="AQ195" s="26"/>
      <c r="AR195" s="26"/>
      <c r="AS195" s="26"/>
      <c r="AT195" s="26"/>
      <c r="AU195" s="26"/>
      <c r="AV195" s="156">
        <v>104</v>
      </c>
      <c r="AW195" s="26"/>
      <c r="AX195" s="26"/>
      <c r="AY195" s="29">
        <f>Y195-AV195-AX195-AW195</f>
        <v>16</v>
      </c>
      <c r="AZ195" s="29"/>
      <c r="BA195" s="26">
        <f>AL195+AG195+AA195+AT195</f>
        <v>104</v>
      </c>
      <c r="BB195" s="30">
        <f>BD195+AO195+AG195</f>
        <v>16</v>
      </c>
      <c r="BC195" s="30">
        <f>BD195+AS195</f>
        <v>16</v>
      </c>
      <c r="BD195" s="30">
        <f>IF(BA195&gt;0,Y195-BA195,BA195)</f>
        <v>16</v>
      </c>
      <c r="BE195" s="31">
        <v>3</v>
      </c>
      <c r="BF195" s="30" t="s">
        <v>57</v>
      </c>
      <c r="BG195" s="31">
        <f>BE195*Q195</f>
        <v>120</v>
      </c>
      <c r="BH195" s="31">
        <f>BE195*R195*0.4</f>
        <v>0</v>
      </c>
      <c r="BI195" s="142"/>
      <c r="BJ195" s="142"/>
      <c r="BK195" s="32">
        <f>Y195*BE195</f>
        <v>360</v>
      </c>
      <c r="BL195" s="25">
        <v>40</v>
      </c>
      <c r="BM195" s="25">
        <v>40</v>
      </c>
      <c r="BN195" s="25">
        <v>40</v>
      </c>
      <c r="BO195" s="25">
        <v>40</v>
      </c>
      <c r="BP195" s="25">
        <f>BE195*AV195</f>
        <v>312</v>
      </c>
      <c r="BQ195" s="25">
        <f>BE195*AX195</f>
        <v>0</v>
      </c>
      <c r="BR195" s="26"/>
      <c r="BS195" s="32"/>
    </row>
    <row r="196" spans="1:71" s="6" customFormat="1" ht="41.25" customHeight="1">
      <c r="A196" s="18">
        <v>193</v>
      </c>
      <c r="B196" s="18" t="s">
        <v>94</v>
      </c>
      <c r="C196" s="18" t="s">
        <v>200</v>
      </c>
      <c r="D196" s="18" t="s">
        <v>96</v>
      </c>
      <c r="E196" s="22" t="s">
        <v>204</v>
      </c>
      <c r="F196" s="48" t="s">
        <v>98</v>
      </c>
      <c r="G196" s="48" t="s">
        <v>202</v>
      </c>
      <c r="H196" s="22"/>
      <c r="I196" s="22"/>
      <c r="J196" s="22"/>
      <c r="K196" s="22"/>
      <c r="L196" s="22"/>
      <c r="M196" s="22"/>
      <c r="N196" s="22" t="s">
        <v>205</v>
      </c>
      <c r="O196" s="23"/>
      <c r="P196" s="38" t="s">
        <v>56</v>
      </c>
      <c r="Q196" s="29">
        <v>40</v>
      </c>
      <c r="R196" s="72"/>
      <c r="S196" s="40">
        <v>40</v>
      </c>
      <c r="T196" s="63">
        <v>2</v>
      </c>
      <c r="U196" s="26"/>
      <c r="V196" s="25">
        <v>40</v>
      </c>
      <c r="W196" s="26"/>
      <c r="X196" s="25">
        <v>40</v>
      </c>
      <c r="Y196" s="53">
        <f>T196+R196+Q196+U196+W196</f>
        <v>42</v>
      </c>
      <c r="Z196" s="27">
        <v>280</v>
      </c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>
        <f>SUM(AM196:AS196)</f>
        <v>0</v>
      </c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9">
        <f>Y196-AV196-AX196-AW196</f>
        <v>42</v>
      </c>
      <c r="AZ196" s="29">
        <f>'Layout for shadhous 3'!E55</f>
        <v>42</v>
      </c>
      <c r="BA196" s="26">
        <f>AL196+AG196+AA196+AT196</f>
        <v>0</v>
      </c>
      <c r="BB196" s="30">
        <f>BD196+AO196+AG196</f>
        <v>0</v>
      </c>
      <c r="BC196" s="30">
        <f>BD196+AS196</f>
        <v>0</v>
      </c>
      <c r="BD196" s="30">
        <f>IF(BA196&gt;0,Y196-BA196,BA196)</f>
        <v>0</v>
      </c>
      <c r="BE196" s="31">
        <v>3</v>
      </c>
      <c r="BF196" s="30" t="s">
        <v>57</v>
      </c>
      <c r="BG196" s="31">
        <f>BE196*Q196</f>
        <v>120</v>
      </c>
      <c r="BH196" s="31">
        <f>BE196*R196*0.4</f>
        <v>0</v>
      </c>
      <c r="BI196" s="142"/>
      <c r="BJ196" s="142"/>
      <c r="BK196" s="32">
        <f>Y196*BE196</f>
        <v>126</v>
      </c>
      <c r="BL196" s="25">
        <v>40</v>
      </c>
      <c r="BM196" s="25">
        <v>40</v>
      </c>
      <c r="BN196" s="25">
        <v>40</v>
      </c>
      <c r="BO196" s="25">
        <v>40</v>
      </c>
      <c r="BP196" s="25">
        <f>BE196*AV196</f>
        <v>0</v>
      </c>
      <c r="BQ196" s="25">
        <f>BE196*AX196</f>
        <v>0</v>
      </c>
      <c r="BR196" s="26"/>
      <c r="BS196" s="32"/>
    </row>
    <row r="197" spans="1:71" s="6" customFormat="1" ht="41.25" customHeight="1">
      <c r="A197" s="18">
        <v>194</v>
      </c>
      <c r="B197" s="18" t="s">
        <v>94</v>
      </c>
      <c r="C197" s="18" t="s">
        <v>200</v>
      </c>
      <c r="D197" s="18" t="s">
        <v>96</v>
      </c>
      <c r="E197" s="22" t="s">
        <v>204</v>
      </c>
      <c r="F197" s="48" t="s">
        <v>98</v>
      </c>
      <c r="G197" s="48" t="s">
        <v>202</v>
      </c>
      <c r="H197" s="22"/>
      <c r="I197" s="22"/>
      <c r="J197" s="22"/>
      <c r="K197" s="22"/>
      <c r="L197" s="22"/>
      <c r="M197" s="22"/>
      <c r="N197" s="22" t="s">
        <v>206</v>
      </c>
      <c r="O197" s="23"/>
      <c r="P197" s="38" t="s">
        <v>56</v>
      </c>
      <c r="Q197" s="143">
        <v>40</v>
      </c>
      <c r="R197" s="72"/>
      <c r="S197" s="40">
        <v>40</v>
      </c>
      <c r="T197" s="63">
        <v>26</v>
      </c>
      <c r="U197" s="26"/>
      <c r="V197" s="25">
        <v>40</v>
      </c>
      <c r="W197" s="26"/>
      <c r="X197" s="25">
        <v>40</v>
      </c>
      <c r="Y197" s="53">
        <f>T197+R197+Q197+U197+W197</f>
        <v>66</v>
      </c>
      <c r="Z197" s="27">
        <v>280</v>
      </c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>
        <f>SUM(AM197:AS197)</f>
        <v>0</v>
      </c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9">
        <f>Y197-AV197-AX197-AW197</f>
        <v>66</v>
      </c>
      <c r="AZ197" s="29">
        <f>'Layout for shadhous 3'!E56</f>
        <v>66</v>
      </c>
      <c r="BA197" s="26">
        <f>AL197+AG197+AA197+AT197</f>
        <v>0</v>
      </c>
      <c r="BB197" s="30">
        <f>BD197+AO197+AG197</f>
        <v>0</v>
      </c>
      <c r="BC197" s="30">
        <f>BD197+AS197</f>
        <v>0</v>
      </c>
      <c r="BD197" s="30">
        <f>IF(BA197&gt;0,Y197-BA197,BA197)</f>
        <v>0</v>
      </c>
      <c r="BE197" s="31">
        <v>3</v>
      </c>
      <c r="BF197" s="30" t="s">
        <v>57</v>
      </c>
      <c r="BG197" s="31">
        <f>BE197*Q197</f>
        <v>120</v>
      </c>
      <c r="BH197" s="31">
        <f>BE197*R197*0.4</f>
        <v>0</v>
      </c>
      <c r="BI197" s="142"/>
      <c r="BJ197" s="142"/>
      <c r="BK197" s="32">
        <f>Y197*BE197</f>
        <v>198</v>
      </c>
      <c r="BL197" s="25">
        <v>40</v>
      </c>
      <c r="BM197" s="25">
        <v>40</v>
      </c>
      <c r="BN197" s="25">
        <v>40</v>
      </c>
      <c r="BO197" s="25">
        <v>40</v>
      </c>
      <c r="BP197" s="25">
        <f>BE197*AV197</f>
        <v>0</v>
      </c>
      <c r="BQ197" s="25">
        <f>BE197*AX197</f>
        <v>0</v>
      </c>
      <c r="BR197" s="26"/>
      <c r="BS197" s="32"/>
    </row>
    <row r="198" spans="1:71" s="6" customFormat="1" ht="41.25" customHeight="1">
      <c r="A198" s="18">
        <v>195</v>
      </c>
      <c r="B198" s="18" t="s">
        <v>94</v>
      </c>
      <c r="C198" s="18" t="s">
        <v>200</v>
      </c>
      <c r="D198" s="18" t="s">
        <v>96</v>
      </c>
      <c r="E198" s="22" t="s">
        <v>207</v>
      </c>
      <c r="F198" s="48" t="s">
        <v>98</v>
      </c>
      <c r="G198" s="48" t="s">
        <v>202</v>
      </c>
      <c r="H198" s="22"/>
      <c r="I198" s="22"/>
      <c r="J198" s="22"/>
      <c r="K198" s="22"/>
      <c r="L198" s="22"/>
      <c r="M198" s="22"/>
      <c r="N198" s="22" t="s">
        <v>208</v>
      </c>
      <c r="O198" s="23"/>
      <c r="P198" s="38" t="s">
        <v>56</v>
      </c>
      <c r="Q198" s="29">
        <v>40</v>
      </c>
      <c r="R198" s="72"/>
      <c r="S198" s="40">
        <v>40</v>
      </c>
      <c r="T198" s="63">
        <v>26</v>
      </c>
      <c r="U198" s="26"/>
      <c r="V198" s="25">
        <v>40</v>
      </c>
      <c r="W198" s="26"/>
      <c r="X198" s="25">
        <v>40</v>
      </c>
      <c r="Y198" s="53">
        <f>T198+R198+Q198+U198+W198</f>
        <v>66</v>
      </c>
      <c r="Z198" s="27">
        <v>280</v>
      </c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>
        <f>SUM(AM198:AS198)</f>
        <v>0</v>
      </c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9">
        <f>Y198-AV198-AX198-AW198</f>
        <v>66</v>
      </c>
      <c r="AZ198" s="29">
        <f>'Layout for shadhous 3'!E54</f>
        <v>66</v>
      </c>
      <c r="BA198" s="26">
        <f>AL198+AG198+AA198+AT198</f>
        <v>0</v>
      </c>
      <c r="BB198" s="30">
        <f>BD198+AO198+AG198</f>
        <v>0</v>
      </c>
      <c r="BC198" s="30">
        <f>BD198+AS198</f>
        <v>0</v>
      </c>
      <c r="BD198" s="30">
        <f>IF(BA198&gt;0,Y198-BA198,BA198)</f>
        <v>0</v>
      </c>
      <c r="BE198" s="31">
        <v>3</v>
      </c>
      <c r="BF198" s="30" t="s">
        <v>57</v>
      </c>
      <c r="BG198" s="31">
        <f>BE198*Q198</f>
        <v>120</v>
      </c>
      <c r="BH198" s="31">
        <f>BE198*R198*0.4</f>
        <v>0</v>
      </c>
      <c r="BI198" s="142"/>
      <c r="BJ198" s="142"/>
      <c r="BK198" s="32">
        <f>Y198*BE198</f>
        <v>198</v>
      </c>
      <c r="BL198" s="25">
        <v>40</v>
      </c>
      <c r="BM198" s="25">
        <v>40</v>
      </c>
      <c r="BN198" s="25">
        <v>40</v>
      </c>
      <c r="BO198" s="25">
        <v>40</v>
      </c>
      <c r="BP198" s="25">
        <f>BE198*AV198</f>
        <v>0</v>
      </c>
      <c r="BQ198" s="25">
        <f>BE198*AX198</f>
        <v>0</v>
      </c>
      <c r="BR198" s="26"/>
      <c r="BS198" s="32"/>
    </row>
    <row r="199" spans="1:71" s="6" customFormat="1" ht="41.25" customHeight="1">
      <c r="A199" s="18">
        <v>196</v>
      </c>
      <c r="B199" s="18" t="s">
        <v>94</v>
      </c>
      <c r="C199" s="18" t="s">
        <v>209</v>
      </c>
      <c r="D199" s="18" t="s">
        <v>96</v>
      </c>
      <c r="E199" s="20" t="s">
        <v>210</v>
      </c>
      <c r="F199" s="18" t="s">
        <v>209</v>
      </c>
      <c r="G199" s="21" t="s">
        <v>52</v>
      </c>
      <c r="H199" s="22"/>
      <c r="I199" s="22"/>
      <c r="J199" s="22"/>
      <c r="K199" s="22"/>
      <c r="L199" s="20" t="s">
        <v>53</v>
      </c>
      <c r="M199" s="22"/>
      <c r="N199" s="22" t="s">
        <v>211</v>
      </c>
      <c r="O199" s="23"/>
      <c r="P199" s="18" t="s">
        <v>56</v>
      </c>
      <c r="Q199" s="72"/>
      <c r="R199" s="72"/>
      <c r="S199" s="25"/>
      <c r="T199" s="26"/>
      <c r="U199" s="26"/>
      <c r="V199" s="25"/>
      <c r="W199" s="26"/>
      <c r="X199" s="25"/>
      <c r="Y199" s="26">
        <f>T199+R199+Q199+U199+W199</f>
        <v>0</v>
      </c>
      <c r="Z199" s="27">
        <v>200</v>
      </c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>
        <f>SUM(AM199:AS199)</f>
        <v>0</v>
      </c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72">
        <f>Y199-AV199-AX199-AW199</f>
        <v>0</v>
      </c>
      <c r="AZ199" s="68"/>
      <c r="BA199" s="26">
        <f>AL199+AG199+AA199+AT199</f>
        <v>0</v>
      </c>
      <c r="BB199" s="30">
        <f>BD199+AO199+AG199</f>
        <v>0</v>
      </c>
      <c r="BC199" s="30">
        <f>BD199+AS199</f>
        <v>0</v>
      </c>
      <c r="BD199" s="30">
        <f>IF(BA199&gt;0,Y199-BA199,BA199)</f>
        <v>0</v>
      </c>
      <c r="BE199" s="31"/>
      <c r="BF199" s="30" t="s">
        <v>57</v>
      </c>
      <c r="BG199" s="31">
        <f>BE199*Q199</f>
        <v>0</v>
      </c>
      <c r="BH199" s="31">
        <f>BE199*R199*0.4</f>
        <v>0</v>
      </c>
      <c r="BI199" s="142"/>
      <c r="BJ199" s="142"/>
      <c r="BK199" s="32">
        <f>Y199*BE199</f>
        <v>0</v>
      </c>
      <c r="BL199" s="25"/>
      <c r="BM199" s="25"/>
      <c r="BN199" s="25">
        <v>200</v>
      </c>
      <c r="BO199" s="25"/>
      <c r="BP199" s="25">
        <f>BE199*AV199</f>
        <v>0</v>
      </c>
      <c r="BQ199" s="25">
        <f>BE199*AX199</f>
        <v>0</v>
      </c>
      <c r="BR199" s="26"/>
      <c r="BS199" s="32"/>
    </row>
    <row r="200" spans="1:71" s="6" customFormat="1" ht="41.25" customHeight="1">
      <c r="A200" s="18">
        <v>197</v>
      </c>
      <c r="B200" s="18" t="s">
        <v>94</v>
      </c>
      <c r="C200" s="18" t="s">
        <v>132</v>
      </c>
      <c r="D200" s="18" t="s">
        <v>96</v>
      </c>
      <c r="E200" s="22" t="s">
        <v>213</v>
      </c>
      <c r="F200" s="52" t="s">
        <v>123</v>
      </c>
      <c r="G200" s="52" t="s">
        <v>123</v>
      </c>
      <c r="H200" s="22"/>
      <c r="I200" s="22"/>
      <c r="J200" s="22"/>
      <c r="K200" s="22"/>
      <c r="L200" s="22"/>
      <c r="M200" s="22"/>
      <c r="N200" s="22" t="s">
        <v>214</v>
      </c>
      <c r="O200" s="23"/>
      <c r="P200" s="18" t="s">
        <v>56</v>
      </c>
      <c r="Q200" s="143">
        <v>60</v>
      </c>
      <c r="R200" s="72"/>
      <c r="S200" s="25">
        <v>60</v>
      </c>
      <c r="T200" s="143">
        <v>60</v>
      </c>
      <c r="U200" s="26"/>
      <c r="V200" s="25">
        <v>60</v>
      </c>
      <c r="W200" s="53">
        <v>130</v>
      </c>
      <c r="X200" s="25">
        <v>60</v>
      </c>
      <c r="Y200" s="53">
        <f>T200+R200+Q200+U200+W200</f>
        <v>250</v>
      </c>
      <c r="Z200" s="27">
        <v>420</v>
      </c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41">
        <f>SUM(AM200:AS200)</f>
        <v>244</v>
      </c>
      <c r="AM200" s="41"/>
      <c r="AN200" s="49">
        <v>0</v>
      </c>
      <c r="AO200" s="49">
        <v>244</v>
      </c>
      <c r="AP200" s="49"/>
      <c r="AQ200" s="49"/>
      <c r="AR200" s="49"/>
      <c r="AS200" s="49"/>
      <c r="AT200" s="26"/>
      <c r="AU200" s="26"/>
      <c r="AV200" s="26"/>
      <c r="AW200" s="26"/>
      <c r="AX200" s="26"/>
      <c r="AY200" s="29">
        <f>Y200-AV200-AX200-AW200</f>
        <v>250</v>
      </c>
      <c r="AZ200" s="29">
        <f ca="1">'Layout for shadhous 1&amp;2'!C58</f>
        <v>250</v>
      </c>
      <c r="BA200" s="26">
        <f>AL200+AG200+AA200+AT200</f>
        <v>244</v>
      </c>
      <c r="BB200" s="30">
        <f>BD200+AO200+AG200</f>
        <v>250</v>
      </c>
      <c r="BC200" s="30">
        <f>BD200+AS200</f>
        <v>6</v>
      </c>
      <c r="BD200" s="30">
        <f>IF(BA200&gt;0,Y200-BA200,BA200)</f>
        <v>6</v>
      </c>
      <c r="BE200" s="31">
        <v>8</v>
      </c>
      <c r="BF200" s="30" t="s">
        <v>57</v>
      </c>
      <c r="BG200" s="31">
        <f>BE200*Q200</f>
        <v>480</v>
      </c>
      <c r="BH200" s="31">
        <f>BE200*R200*0.4</f>
        <v>0</v>
      </c>
      <c r="BI200" s="31"/>
      <c r="BJ200" s="31"/>
      <c r="BK200" s="32">
        <f>Y200*BE200</f>
        <v>2000</v>
      </c>
      <c r="BL200" s="25">
        <v>60</v>
      </c>
      <c r="BM200" s="25">
        <v>60</v>
      </c>
      <c r="BN200" s="25">
        <v>60</v>
      </c>
      <c r="BO200" s="25">
        <v>60</v>
      </c>
      <c r="BP200" s="25">
        <f>BE200*AV200</f>
        <v>0</v>
      </c>
      <c r="BQ200" s="25">
        <f>BE200*AX200</f>
        <v>0</v>
      </c>
      <c r="BR200" s="26"/>
      <c r="BS200" s="32"/>
    </row>
    <row r="201" spans="1:71" s="6" customFormat="1" ht="41.25" customHeight="1">
      <c r="A201" s="18">
        <v>198</v>
      </c>
      <c r="B201" s="18" t="s">
        <v>94</v>
      </c>
      <c r="C201" s="18" t="s">
        <v>215</v>
      </c>
      <c r="D201" s="18" t="s">
        <v>96</v>
      </c>
      <c r="E201" s="20" t="s">
        <v>216</v>
      </c>
      <c r="F201" s="21" t="s">
        <v>52</v>
      </c>
      <c r="G201" s="21" t="s">
        <v>52</v>
      </c>
      <c r="H201" s="22"/>
      <c r="I201" s="22"/>
      <c r="J201" s="22"/>
      <c r="K201" s="22"/>
      <c r="L201" s="20" t="s">
        <v>53</v>
      </c>
      <c r="M201" s="22"/>
      <c r="N201" s="22" t="s">
        <v>217</v>
      </c>
      <c r="O201" s="23" t="s">
        <v>218</v>
      </c>
      <c r="P201" s="18" t="s">
        <v>56</v>
      </c>
      <c r="Q201" s="72"/>
      <c r="R201" s="72"/>
      <c r="S201" s="25"/>
      <c r="T201" s="26"/>
      <c r="U201" s="26"/>
      <c r="V201" s="25"/>
      <c r="W201" s="26"/>
      <c r="X201" s="25">
        <v>200</v>
      </c>
      <c r="Y201" s="26">
        <f>T201+R201+Q201+U201+W201</f>
        <v>0</v>
      </c>
      <c r="Z201" s="27">
        <v>200</v>
      </c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>
        <f>SUM(AM201:AS201)</f>
        <v>0</v>
      </c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72">
        <f>Y201-AV201-AX201-AW201</f>
        <v>0</v>
      </c>
      <c r="AZ201" s="68"/>
      <c r="BA201" s="26">
        <f>AL201+AG201+AA201+AT201</f>
        <v>0</v>
      </c>
      <c r="BB201" s="30">
        <f>BD201+AO201+AG201</f>
        <v>0</v>
      </c>
      <c r="BC201" s="30">
        <f>BD201+AS201</f>
        <v>0</v>
      </c>
      <c r="BD201" s="30">
        <f>IF(BA201&gt;0,Y201-BA201,BA201)</f>
        <v>0</v>
      </c>
      <c r="BE201" s="31"/>
      <c r="BF201" s="30" t="s">
        <v>57</v>
      </c>
      <c r="BG201" s="31">
        <f>BE201*Q201</f>
        <v>0</v>
      </c>
      <c r="BH201" s="31">
        <f>BE201*R201*0.4</f>
        <v>0</v>
      </c>
      <c r="BI201" s="142"/>
      <c r="BJ201" s="142"/>
      <c r="BK201" s="32">
        <f>Y201*BE201</f>
        <v>0</v>
      </c>
      <c r="BL201" s="25"/>
      <c r="BM201" s="25"/>
      <c r="BN201" s="25"/>
      <c r="BO201" s="25"/>
      <c r="BP201" s="25">
        <f>BE201*AV201</f>
        <v>0</v>
      </c>
      <c r="BQ201" s="25">
        <f>BE201*AX201</f>
        <v>0</v>
      </c>
      <c r="BR201" s="26"/>
      <c r="BS201" s="32"/>
    </row>
    <row r="202" spans="1:71" s="6" customFormat="1" ht="41.25" customHeight="1">
      <c r="A202" s="18">
        <v>199</v>
      </c>
      <c r="B202" s="18" t="s">
        <v>94</v>
      </c>
      <c r="C202" s="66" t="s">
        <v>209</v>
      </c>
      <c r="D202" s="18" t="s">
        <v>96</v>
      </c>
      <c r="E202" s="20" t="s">
        <v>210</v>
      </c>
      <c r="F202" s="66" t="s">
        <v>209</v>
      </c>
      <c r="G202" s="21" t="s">
        <v>52</v>
      </c>
      <c r="H202" s="50"/>
      <c r="I202" s="50"/>
      <c r="J202" s="22">
        <v>240</v>
      </c>
      <c r="K202" s="22" t="s">
        <v>298</v>
      </c>
      <c r="L202" s="20" t="s">
        <v>53</v>
      </c>
      <c r="M202" s="22"/>
      <c r="N202" s="22" t="s">
        <v>229</v>
      </c>
      <c r="O202" s="23"/>
      <c r="P202" s="18" t="s">
        <v>56</v>
      </c>
      <c r="Q202" s="72"/>
      <c r="R202" s="72"/>
      <c r="S202" s="25"/>
      <c r="T202" s="26"/>
      <c r="U202" s="26"/>
      <c r="V202" s="25"/>
      <c r="W202" s="63">
        <v>100</v>
      </c>
      <c r="X202" s="25"/>
      <c r="Y202" s="53">
        <f>T202+R202+Q202+U202+W202</f>
        <v>100</v>
      </c>
      <c r="Z202" s="27">
        <v>200</v>
      </c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>
        <f>SUM(AM202:AS202)</f>
        <v>0</v>
      </c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9">
        <f>Y202-AV202-AX202-AW202</f>
        <v>100</v>
      </c>
      <c r="AZ202" s="29"/>
      <c r="BA202" s="26">
        <f>AL202+AG202+AA202+AT202</f>
        <v>0</v>
      </c>
      <c r="BB202" s="30">
        <f>BD202+AO202+AG202</f>
        <v>0</v>
      </c>
      <c r="BC202" s="30">
        <f>BD202+AS202</f>
        <v>0</v>
      </c>
      <c r="BD202" s="30">
        <f>IF(BA202&gt;0,Y202-BA202,BA202)</f>
        <v>0</v>
      </c>
      <c r="BE202" s="31">
        <v>8</v>
      </c>
      <c r="BF202" s="30" t="s">
        <v>57</v>
      </c>
      <c r="BG202" s="31">
        <f>BE202*Q202</f>
        <v>0</v>
      </c>
      <c r="BH202" s="31">
        <f>BE202*R202*0.4</f>
        <v>0</v>
      </c>
      <c r="BI202" s="31"/>
      <c r="BJ202" s="31"/>
      <c r="BK202" s="32">
        <f>Y202*BE202</f>
        <v>800</v>
      </c>
      <c r="BL202" s="25"/>
      <c r="BM202" s="25"/>
      <c r="BN202" s="25"/>
      <c r="BO202" s="25">
        <v>200</v>
      </c>
      <c r="BP202" s="25">
        <f>BE202*AV202</f>
        <v>0</v>
      </c>
      <c r="BQ202" s="25">
        <f>BE202*AX202</f>
        <v>0</v>
      </c>
      <c r="BR202" s="26"/>
      <c r="BS202" s="32"/>
    </row>
    <row r="203" spans="1:71" s="6" customFormat="1" ht="41.25" customHeight="1">
      <c r="A203" s="18">
        <v>200</v>
      </c>
      <c r="B203" s="18" t="s">
        <v>94</v>
      </c>
      <c r="C203" s="18" t="s">
        <v>200</v>
      </c>
      <c r="D203" s="18" t="s">
        <v>96</v>
      </c>
      <c r="E203" s="22" t="s">
        <v>207</v>
      </c>
      <c r="F203" s="48" t="s">
        <v>98</v>
      </c>
      <c r="G203" s="48" t="s">
        <v>239</v>
      </c>
      <c r="H203" s="22"/>
      <c r="I203" s="22"/>
      <c r="J203" s="22"/>
      <c r="K203" s="22"/>
      <c r="L203" s="22"/>
      <c r="M203" s="22"/>
      <c r="N203" s="22" t="s">
        <v>240</v>
      </c>
      <c r="O203" s="23"/>
      <c r="P203" s="38" t="s">
        <v>56</v>
      </c>
      <c r="Q203" s="29">
        <v>40</v>
      </c>
      <c r="R203" s="72"/>
      <c r="S203" s="40">
        <v>40</v>
      </c>
      <c r="T203" s="26"/>
      <c r="U203" s="26"/>
      <c r="V203" s="25">
        <v>40</v>
      </c>
      <c r="W203" s="26"/>
      <c r="X203" s="25">
        <v>40</v>
      </c>
      <c r="Y203" s="53">
        <f>T203+R203+Q203+U203+W203</f>
        <v>40</v>
      </c>
      <c r="Z203" s="27">
        <v>280</v>
      </c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>
        <f>SUM(AM203:AS203)</f>
        <v>0</v>
      </c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9">
        <f>Y203-AV203-AX203-AW203</f>
        <v>40</v>
      </c>
      <c r="AZ203" s="29">
        <f>'Layout for shadhous 3'!E57</f>
        <v>39</v>
      </c>
      <c r="BA203" s="26">
        <f>AL203+AG203+AA203+AT203</f>
        <v>0</v>
      </c>
      <c r="BB203" s="30">
        <f>BD203+AO203+AG203</f>
        <v>0</v>
      </c>
      <c r="BC203" s="30">
        <f>BD203+AS203</f>
        <v>0</v>
      </c>
      <c r="BD203" s="30">
        <f>IF(BA203&gt;0,Y203-BA203,BA203)</f>
        <v>0</v>
      </c>
      <c r="BE203" s="31">
        <v>32</v>
      </c>
      <c r="BF203" s="30" t="s">
        <v>57</v>
      </c>
      <c r="BG203" s="31">
        <f>BE203*Q203</f>
        <v>1280</v>
      </c>
      <c r="BH203" s="31">
        <f>BE203*R203*0.4</f>
        <v>0</v>
      </c>
      <c r="BI203" s="142"/>
      <c r="BJ203" s="142"/>
      <c r="BK203" s="32">
        <f>Y203*BE203</f>
        <v>1280</v>
      </c>
      <c r="BL203" s="25">
        <v>40</v>
      </c>
      <c r="BM203" s="25">
        <v>40</v>
      </c>
      <c r="BN203" s="25">
        <v>40</v>
      </c>
      <c r="BO203" s="25">
        <v>40</v>
      </c>
      <c r="BP203" s="25">
        <f>BE203*AV203</f>
        <v>0</v>
      </c>
      <c r="BQ203" s="25">
        <f>BE203*AX203</f>
        <v>0</v>
      </c>
      <c r="BR203" s="26"/>
      <c r="BS203" s="32"/>
    </row>
    <row r="204" spans="1:71" s="6" customFormat="1" ht="41.25" customHeight="1">
      <c r="A204" s="18">
        <v>201</v>
      </c>
      <c r="B204" s="18" t="s">
        <v>58</v>
      </c>
      <c r="C204" s="33" t="s">
        <v>59</v>
      </c>
      <c r="D204" s="34" t="s">
        <v>60</v>
      </c>
      <c r="E204" s="20" t="s">
        <v>189</v>
      </c>
      <c r="F204" s="34" t="s">
        <v>62</v>
      </c>
      <c r="G204" s="21" t="s">
        <v>52</v>
      </c>
      <c r="H204" s="22"/>
      <c r="I204" s="22"/>
      <c r="J204" s="22"/>
      <c r="K204" s="22"/>
      <c r="L204" s="20" t="s">
        <v>53</v>
      </c>
      <c r="M204" s="22"/>
      <c r="N204" s="22" t="s">
        <v>241</v>
      </c>
      <c r="O204" s="23" t="s">
        <v>242</v>
      </c>
      <c r="P204" s="18" t="s">
        <v>65</v>
      </c>
      <c r="Q204" s="72"/>
      <c r="R204" s="72"/>
      <c r="S204" s="35">
        <v>15</v>
      </c>
      <c r="T204" s="26"/>
      <c r="U204" s="26"/>
      <c r="V204" s="35">
        <v>15</v>
      </c>
      <c r="W204" s="154"/>
      <c r="X204" s="35">
        <v>15</v>
      </c>
      <c r="Y204" s="26">
        <f>T204+R204+Q204+U204+W204</f>
        <v>0</v>
      </c>
      <c r="Z204" s="27">
        <v>105</v>
      </c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>
        <f>SUM(AM204:AS204)</f>
        <v>0</v>
      </c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72">
        <f>Y204-AV204-AX204-AW204</f>
        <v>0</v>
      </c>
      <c r="AZ204" s="68"/>
      <c r="BA204" s="26">
        <f>AL204+AG204+AA204+AT204</f>
        <v>0</v>
      </c>
      <c r="BB204" s="30">
        <f>BD204+AO204+AG204</f>
        <v>0</v>
      </c>
      <c r="BC204" s="30">
        <f>BD204+AS204</f>
        <v>0</v>
      </c>
      <c r="BD204" s="30">
        <f>IF(BA204&gt;0,Y204-BA204,BA204)</f>
        <v>0</v>
      </c>
      <c r="BE204" s="31">
        <v>37</v>
      </c>
      <c r="BF204" s="30" t="s">
        <v>57</v>
      </c>
      <c r="BG204" s="31">
        <f>BE204*Q204</f>
        <v>0</v>
      </c>
      <c r="BH204" s="31">
        <f>BE204*R204*0.4</f>
        <v>0</v>
      </c>
      <c r="BI204" s="142"/>
      <c r="BJ204" s="142"/>
      <c r="BK204" s="32">
        <f>Y204*BE204</f>
        <v>0</v>
      </c>
      <c r="BL204" s="35">
        <v>15</v>
      </c>
      <c r="BM204" s="35">
        <v>15</v>
      </c>
      <c r="BN204" s="35">
        <v>15</v>
      </c>
      <c r="BO204" s="35">
        <v>15</v>
      </c>
      <c r="BP204" s="25">
        <f>BE204*AV204</f>
        <v>0</v>
      </c>
      <c r="BQ204" s="25">
        <f>BE204*AX204</f>
        <v>0</v>
      </c>
      <c r="BR204" s="26"/>
      <c r="BS204" s="32"/>
    </row>
    <row r="205" spans="1:71" s="6" customFormat="1" ht="41.25" customHeight="1">
      <c r="A205" s="18">
        <v>202</v>
      </c>
      <c r="B205" s="18" t="s">
        <v>94</v>
      </c>
      <c r="C205" s="18" t="s">
        <v>200</v>
      </c>
      <c r="D205" s="18" t="s">
        <v>96</v>
      </c>
      <c r="E205" s="22" t="s">
        <v>243</v>
      </c>
      <c r="F205" s="48" t="s">
        <v>98</v>
      </c>
      <c r="G205" s="67" t="s">
        <v>202</v>
      </c>
      <c r="H205" s="22"/>
      <c r="I205" s="22"/>
      <c r="J205" s="22"/>
      <c r="K205" s="22"/>
      <c r="L205" s="22"/>
      <c r="M205" s="22"/>
      <c r="N205" s="22" t="s">
        <v>244</v>
      </c>
      <c r="O205" s="23"/>
      <c r="P205" s="38" t="s">
        <v>56</v>
      </c>
      <c r="Q205" s="72"/>
      <c r="R205" s="72"/>
      <c r="S205" s="40">
        <v>40</v>
      </c>
      <c r="T205" s="26"/>
      <c r="U205" s="26"/>
      <c r="V205" s="25">
        <v>40</v>
      </c>
      <c r="W205" s="26"/>
      <c r="X205" s="25">
        <v>40</v>
      </c>
      <c r="Y205" s="26">
        <f>T205+R205+Q205+U205+W205</f>
        <v>0</v>
      </c>
      <c r="Z205" s="27">
        <v>280</v>
      </c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>
        <f>SUM(AM205:AS205)</f>
        <v>0</v>
      </c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72">
        <f>Y205-AV205-AX205-AW205</f>
        <v>0</v>
      </c>
      <c r="AZ205" s="68"/>
      <c r="BA205" s="26">
        <f>AL205+AG205+AA205+AT205</f>
        <v>0</v>
      </c>
      <c r="BB205" s="30">
        <f>BD205+AO205+AG205</f>
        <v>0</v>
      </c>
      <c r="BC205" s="30">
        <f>BD205+AS205</f>
        <v>0</v>
      </c>
      <c r="BD205" s="30">
        <f>IF(BA205&gt;0,Y205-BA205,BA205)</f>
        <v>0</v>
      </c>
      <c r="BE205" s="31">
        <v>24</v>
      </c>
      <c r="BF205" s="30" t="s">
        <v>57</v>
      </c>
      <c r="BG205" s="31">
        <f>BE205*Q205</f>
        <v>0</v>
      </c>
      <c r="BH205" s="31">
        <f>BE205*R205*0.4</f>
        <v>0</v>
      </c>
      <c r="BI205" s="31"/>
      <c r="BJ205" s="31"/>
      <c r="BK205" s="32">
        <f>Y205*BE205</f>
        <v>0</v>
      </c>
      <c r="BL205" s="25">
        <v>40</v>
      </c>
      <c r="BM205" s="25">
        <v>40</v>
      </c>
      <c r="BN205" s="25">
        <v>40</v>
      </c>
      <c r="BO205" s="25">
        <v>40</v>
      </c>
      <c r="BP205" s="25">
        <f>BE205*AV205</f>
        <v>0</v>
      </c>
      <c r="BQ205" s="25">
        <f>BE205*AX205</f>
        <v>0</v>
      </c>
      <c r="BR205" s="26"/>
      <c r="BS205" s="32"/>
    </row>
    <row r="206" spans="1:71" s="6" customFormat="1" ht="41.25" customHeight="1">
      <c r="A206" s="18">
        <v>203</v>
      </c>
      <c r="B206" s="18" t="s">
        <v>87</v>
      </c>
      <c r="C206" s="18" t="s">
        <v>88</v>
      </c>
      <c r="D206" s="47" t="s">
        <v>89</v>
      </c>
      <c r="E206" s="22" t="s">
        <v>245</v>
      </c>
      <c r="F206" s="36" t="s">
        <v>70</v>
      </c>
      <c r="G206" s="36" t="s">
        <v>70</v>
      </c>
      <c r="H206" s="22"/>
      <c r="I206" s="37" t="s">
        <v>91</v>
      </c>
      <c r="J206" s="22"/>
      <c r="K206" s="22"/>
      <c r="L206" s="22"/>
      <c r="M206" s="22"/>
      <c r="N206" s="22" t="s">
        <v>246</v>
      </c>
      <c r="O206" s="23" t="s">
        <v>247</v>
      </c>
      <c r="P206" s="18" t="s">
        <v>56</v>
      </c>
      <c r="Q206" s="72"/>
      <c r="R206" s="72"/>
      <c r="S206" s="25">
        <v>5</v>
      </c>
      <c r="T206" s="26"/>
      <c r="U206" s="26"/>
      <c r="V206" s="25"/>
      <c r="W206" s="26"/>
      <c r="X206" s="25"/>
      <c r="Y206" s="26">
        <f>T206+R206+Q206+U206+W206</f>
        <v>0</v>
      </c>
      <c r="Z206" s="27">
        <v>5</v>
      </c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>
        <f>SUM(AM206:AS206)</f>
        <v>0</v>
      </c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72">
        <f>Y206-AV206-AX206-AW206</f>
        <v>0</v>
      </c>
      <c r="AZ206" s="68"/>
      <c r="BA206" s="26">
        <f>AL206+AG206+AA206+AT206</f>
        <v>0</v>
      </c>
      <c r="BB206" s="30">
        <f>BD206+AO206+AG206</f>
        <v>0</v>
      </c>
      <c r="BC206" s="30">
        <f>BD206+AS206</f>
        <v>0</v>
      </c>
      <c r="BD206" s="30">
        <f>IF(BA206&gt;0,Y206-BA206,BA206)</f>
        <v>0</v>
      </c>
      <c r="BE206" s="31">
        <v>5192</v>
      </c>
      <c r="BF206" s="30" t="s">
        <v>57</v>
      </c>
      <c r="BG206" s="31">
        <f>BE206*Q206</f>
        <v>0</v>
      </c>
      <c r="BH206" s="31">
        <f>BE206*R206*0.4</f>
        <v>0</v>
      </c>
      <c r="BI206" s="31"/>
      <c r="BJ206" s="31"/>
      <c r="BK206" s="32">
        <f>Y206*BE206</f>
        <v>0</v>
      </c>
      <c r="BL206" s="25"/>
      <c r="BM206" s="25"/>
      <c r="BN206" s="25"/>
      <c r="BO206" s="25"/>
      <c r="BP206" s="25">
        <f>BE206*AV206</f>
        <v>0</v>
      </c>
      <c r="BQ206" s="25">
        <f>BE206*AX206</f>
        <v>0</v>
      </c>
      <c r="BR206" s="26"/>
      <c r="BS206" s="32"/>
    </row>
    <row r="207" spans="1:71" s="6" customFormat="1" ht="41.25" customHeight="1">
      <c r="A207" s="18">
        <v>204</v>
      </c>
      <c r="B207" s="18" t="s">
        <v>94</v>
      </c>
      <c r="C207" s="66" t="s">
        <v>215</v>
      </c>
      <c r="D207" s="18" t="s">
        <v>96</v>
      </c>
      <c r="E207" s="20" t="s">
        <v>216</v>
      </c>
      <c r="F207" s="21" t="s">
        <v>52</v>
      </c>
      <c r="G207" s="21" t="s">
        <v>52</v>
      </c>
      <c r="H207" s="50"/>
      <c r="I207" s="50"/>
      <c r="J207" s="22"/>
      <c r="K207" s="22"/>
      <c r="L207" s="20" t="s">
        <v>53</v>
      </c>
      <c r="M207" s="22"/>
      <c r="N207" s="22" t="s">
        <v>248</v>
      </c>
      <c r="O207" s="23" t="s">
        <v>249</v>
      </c>
      <c r="P207" s="18" t="s">
        <v>56</v>
      </c>
      <c r="Q207" s="72"/>
      <c r="R207" s="72"/>
      <c r="S207" s="25"/>
      <c r="T207" s="26"/>
      <c r="U207" s="26"/>
      <c r="V207" s="25"/>
      <c r="W207" s="26"/>
      <c r="X207" s="25"/>
      <c r="Y207" s="26">
        <f>T207+R207+Q207+U207+W207</f>
        <v>0</v>
      </c>
      <c r="Z207" s="27">
        <v>200</v>
      </c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>
        <f>SUM(AM207:AS207)</f>
        <v>0</v>
      </c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72">
        <f>Y207-AV207-AX207-AW207</f>
        <v>0</v>
      </c>
      <c r="AZ207" s="68"/>
      <c r="BA207" s="26">
        <f>AL207+AG207+AA207+AT207</f>
        <v>0</v>
      </c>
      <c r="BB207" s="30">
        <f>BD207+AO207+AG207</f>
        <v>0</v>
      </c>
      <c r="BC207" s="30">
        <f>BD207+AS207</f>
        <v>0</v>
      </c>
      <c r="BD207" s="30">
        <f>IF(BA207&gt;0,Y207-BA207,BA207)</f>
        <v>0</v>
      </c>
      <c r="BE207" s="31"/>
      <c r="BF207" s="30" t="s">
        <v>57</v>
      </c>
      <c r="BG207" s="31">
        <f>BE207*Q207</f>
        <v>0</v>
      </c>
      <c r="BH207" s="31">
        <f>BE207*R207*0.4</f>
        <v>0</v>
      </c>
      <c r="BI207" s="142"/>
      <c r="BJ207" s="142"/>
      <c r="BK207" s="32">
        <f>Y207*BE207</f>
        <v>0</v>
      </c>
      <c r="BL207" s="25">
        <v>200</v>
      </c>
      <c r="BM207" s="25"/>
      <c r="BN207" s="25"/>
      <c r="BO207" s="25"/>
      <c r="BP207" s="25">
        <f>BE207*AV207</f>
        <v>0</v>
      </c>
      <c r="BQ207" s="25">
        <f>BE207*AX207</f>
        <v>0</v>
      </c>
      <c r="BR207" s="26"/>
      <c r="BS207" s="32"/>
    </row>
    <row r="208" spans="1:71" s="6" customFormat="1" ht="41.25" customHeight="1">
      <c r="A208" s="18">
        <v>205</v>
      </c>
      <c r="B208" s="18" t="s">
        <v>66</v>
      </c>
      <c r="C208" s="66" t="s">
        <v>139</v>
      </c>
      <c r="D208" s="56" t="s">
        <v>50</v>
      </c>
      <c r="E208" s="20" t="s">
        <v>250</v>
      </c>
      <c r="F208" s="21" t="s">
        <v>52</v>
      </c>
      <c r="G208" s="21" t="s">
        <v>52</v>
      </c>
      <c r="H208" s="22">
        <v>120</v>
      </c>
      <c r="I208" s="22">
        <v>200</v>
      </c>
      <c r="J208" s="22">
        <v>200</v>
      </c>
      <c r="K208" s="22" t="s">
        <v>298</v>
      </c>
      <c r="L208" s="20" t="s">
        <v>53</v>
      </c>
      <c r="M208" s="22"/>
      <c r="N208" s="22" t="s">
        <v>251</v>
      </c>
      <c r="O208" s="23" t="s">
        <v>252</v>
      </c>
      <c r="P208" s="18" t="s">
        <v>56</v>
      </c>
      <c r="Q208" s="72"/>
      <c r="R208" s="72"/>
      <c r="S208" s="25">
        <v>920</v>
      </c>
      <c r="T208" s="26"/>
      <c r="U208" s="26"/>
      <c r="V208" s="25">
        <v>920</v>
      </c>
      <c r="W208" s="26"/>
      <c r="X208" s="25">
        <v>552</v>
      </c>
      <c r="Y208" s="26">
        <f>T208+R208+Q208+U208+W208</f>
        <v>0</v>
      </c>
      <c r="Z208" s="27">
        <v>4600</v>
      </c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>
        <f>SUM(AM208:AS208)</f>
        <v>0</v>
      </c>
      <c r="AM208" s="26"/>
      <c r="AN208" s="26"/>
      <c r="AO208" s="26"/>
      <c r="AP208" s="26"/>
      <c r="AQ208" s="26"/>
      <c r="AR208" s="26"/>
      <c r="AS208" s="26"/>
      <c r="AT208" s="28"/>
      <c r="AU208" s="28"/>
      <c r="AV208" s="26"/>
      <c r="AW208" s="26"/>
      <c r="AX208" s="28"/>
      <c r="AY208" s="72">
        <f>Y208-AV208-AX208-AW208</f>
        <v>0</v>
      </c>
      <c r="AZ208" s="68"/>
      <c r="BA208" s="26">
        <f>AL208+AG208+AA208+AT208</f>
        <v>0</v>
      </c>
      <c r="BB208" s="30">
        <f>BD208+AO208+AG208</f>
        <v>0</v>
      </c>
      <c r="BC208" s="30">
        <f>BD208+AS208</f>
        <v>0</v>
      </c>
      <c r="BD208" s="30">
        <f>IF(BA208&gt;0,Y208-BA208,BA208)</f>
        <v>0</v>
      </c>
      <c r="BE208" s="31">
        <v>30</v>
      </c>
      <c r="BF208" s="30" t="s">
        <v>57</v>
      </c>
      <c r="BG208" s="31">
        <f>BE208*Q208</f>
        <v>0</v>
      </c>
      <c r="BH208" s="31">
        <f>BE208*R208*0.4</f>
        <v>0</v>
      </c>
      <c r="BI208" s="142"/>
      <c r="BJ208" s="142"/>
      <c r="BK208" s="32">
        <f>Y208*BE208</f>
        <v>0</v>
      </c>
      <c r="BL208" s="25">
        <v>552</v>
      </c>
      <c r="BM208" s="25">
        <v>552</v>
      </c>
      <c r="BN208" s="25">
        <v>552</v>
      </c>
      <c r="BO208" s="25">
        <v>552</v>
      </c>
      <c r="BP208" s="25">
        <f>BE208*AV208</f>
        <v>0</v>
      </c>
      <c r="BQ208" s="25">
        <f>BE208*AX208</f>
        <v>0</v>
      </c>
      <c r="BR208" s="26"/>
      <c r="BS208" s="32"/>
    </row>
    <row r="209" spans="1:71" s="6" customFormat="1" ht="41.25" customHeight="1">
      <c r="A209" s="18">
        <v>206</v>
      </c>
      <c r="B209" s="50" t="s">
        <v>94</v>
      </c>
      <c r="C209" s="44" t="s">
        <v>158</v>
      </c>
      <c r="D209" s="18" t="s">
        <v>96</v>
      </c>
      <c r="E209" s="55" t="s">
        <v>159</v>
      </c>
      <c r="F209" s="52" t="s">
        <v>123</v>
      </c>
      <c r="G209" s="52" t="s">
        <v>123</v>
      </c>
      <c r="H209" s="50"/>
      <c r="I209" s="50"/>
      <c r="J209" s="22"/>
      <c r="K209" s="22"/>
      <c r="L209" s="20" t="s">
        <v>53</v>
      </c>
      <c r="M209" s="22"/>
      <c r="N209" s="22" t="s">
        <v>257</v>
      </c>
      <c r="O209" s="23" t="s">
        <v>258</v>
      </c>
      <c r="P209" s="18" t="s">
        <v>56</v>
      </c>
      <c r="Q209" s="72"/>
      <c r="R209" s="72"/>
      <c r="S209" s="25"/>
      <c r="T209" s="49"/>
      <c r="U209" s="26"/>
      <c r="V209" s="25"/>
      <c r="W209" s="29">
        <v>45</v>
      </c>
      <c r="X209" s="25"/>
      <c r="Y209" s="53">
        <f>T209+R209+Q209+U209+W209</f>
        <v>45</v>
      </c>
      <c r="Z209" s="27">
        <v>200</v>
      </c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>
        <f>SUM(AM209:AS209)</f>
        <v>0</v>
      </c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9">
        <f>Y209-AV209-AX209-AW209</f>
        <v>45</v>
      </c>
      <c r="AZ209" s="29"/>
      <c r="BA209" s="26">
        <f>AL209+AG209+AA209+AT209</f>
        <v>0</v>
      </c>
      <c r="BB209" s="30">
        <f>BD209+AO209+AG209</f>
        <v>0</v>
      </c>
      <c r="BC209" s="30">
        <f>BD209+AS209</f>
        <v>0</v>
      </c>
      <c r="BD209" s="30">
        <f>IF(BA209&gt;0,Y209-BA209,BA209)</f>
        <v>0</v>
      </c>
      <c r="BE209" s="31">
        <v>10</v>
      </c>
      <c r="BF209" s="30" t="s">
        <v>57</v>
      </c>
      <c r="BG209" s="31">
        <f>BE209*Q209</f>
        <v>0</v>
      </c>
      <c r="BH209" s="31">
        <f>BE209*R209*0.4</f>
        <v>0</v>
      </c>
      <c r="BI209" s="31"/>
      <c r="BJ209" s="31"/>
      <c r="BK209" s="32">
        <f>Y209*BE209</f>
        <v>450</v>
      </c>
      <c r="BL209" s="25">
        <v>200</v>
      </c>
      <c r="BM209" s="25"/>
      <c r="BN209" s="25"/>
      <c r="BO209" s="25"/>
      <c r="BP209" s="25">
        <f>BE209*AV209</f>
        <v>0</v>
      </c>
      <c r="BQ209" s="25">
        <f>BE209*AX209</f>
        <v>0</v>
      </c>
      <c r="BR209" s="26"/>
      <c r="BS209" s="32"/>
    </row>
    <row r="210" spans="1:71" s="6" customFormat="1" ht="41.25" customHeight="1">
      <c r="A210" s="18">
        <v>207</v>
      </c>
      <c r="B210" s="18" t="s">
        <v>94</v>
      </c>
      <c r="C210" s="18" t="s">
        <v>200</v>
      </c>
      <c r="D210" s="18" t="s">
        <v>96</v>
      </c>
      <c r="E210" s="22" t="s">
        <v>243</v>
      </c>
      <c r="F210" s="48" t="s">
        <v>98</v>
      </c>
      <c r="G210" s="52" t="s">
        <v>123</v>
      </c>
      <c r="H210" s="22"/>
      <c r="I210" s="22"/>
      <c r="J210" s="22"/>
      <c r="K210" s="22"/>
      <c r="L210" s="22"/>
      <c r="M210" s="22"/>
      <c r="N210" s="22" t="s">
        <v>263</v>
      </c>
      <c r="O210" s="23"/>
      <c r="P210" s="38" t="s">
        <v>56</v>
      </c>
      <c r="Q210" s="29">
        <v>8</v>
      </c>
      <c r="R210" s="72"/>
      <c r="S210" s="40">
        <v>40</v>
      </c>
      <c r="T210" s="26"/>
      <c r="U210" s="26"/>
      <c r="V210" s="25">
        <v>40</v>
      </c>
      <c r="W210" s="26"/>
      <c r="X210" s="25">
        <v>40</v>
      </c>
      <c r="Y210" s="53">
        <f>T210+R210+Q210+U210+W210</f>
        <v>8</v>
      </c>
      <c r="Z210" s="27">
        <v>280</v>
      </c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>
        <f>SUM(AM210:AS210)</f>
        <v>0</v>
      </c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9">
        <f>Y210-AV210-AX210-AW210</f>
        <v>8</v>
      </c>
      <c r="AZ210" s="29">
        <f>'Layout for shadhous 3'!E58</f>
        <v>8</v>
      </c>
      <c r="BA210" s="26">
        <f>AL210+AG210+AA210+AT210</f>
        <v>0</v>
      </c>
      <c r="BB210" s="30">
        <f>BD210+AO210+AG210</f>
        <v>0</v>
      </c>
      <c r="BC210" s="30">
        <f>BD210+AS210</f>
        <v>0</v>
      </c>
      <c r="BD210" s="30">
        <f>IF(BA210&gt;0,Y210-BA210,BA210)</f>
        <v>0</v>
      </c>
      <c r="BE210" s="31">
        <v>5</v>
      </c>
      <c r="BF210" s="30" t="s">
        <v>57</v>
      </c>
      <c r="BG210" s="31">
        <f>BE210*Q210</f>
        <v>40</v>
      </c>
      <c r="BH210" s="31">
        <f>BE210*R210*0.4</f>
        <v>0</v>
      </c>
      <c r="BI210" s="142"/>
      <c r="BJ210" s="142"/>
      <c r="BK210" s="32">
        <f>Y210*BE210</f>
        <v>40</v>
      </c>
      <c r="BL210" s="25">
        <v>40</v>
      </c>
      <c r="BM210" s="25">
        <v>40</v>
      </c>
      <c r="BN210" s="25">
        <v>40</v>
      </c>
      <c r="BO210" s="25">
        <v>40</v>
      </c>
      <c r="BP210" s="25">
        <f>BE210*AV210</f>
        <v>0</v>
      </c>
      <c r="BQ210" s="25">
        <f>BE210*AX210</f>
        <v>0</v>
      </c>
      <c r="BR210" s="28"/>
      <c r="BS210" s="32"/>
    </row>
    <row r="211" spans="1:71" s="6" customFormat="1" ht="41.25" customHeight="1">
      <c r="A211" s="18">
        <v>208</v>
      </c>
      <c r="B211" s="18" t="s">
        <v>94</v>
      </c>
      <c r="C211" s="18" t="s">
        <v>200</v>
      </c>
      <c r="D211" s="18" t="s">
        <v>96</v>
      </c>
      <c r="E211" s="22" t="s">
        <v>264</v>
      </c>
      <c r="F211" s="48" t="s">
        <v>98</v>
      </c>
      <c r="G211" s="52" t="s">
        <v>123</v>
      </c>
      <c r="H211" s="22"/>
      <c r="I211" s="22"/>
      <c r="J211" s="22"/>
      <c r="K211" s="22"/>
      <c r="L211" s="22"/>
      <c r="M211" s="22"/>
      <c r="N211" s="22" t="s">
        <v>265</v>
      </c>
      <c r="O211" s="23"/>
      <c r="P211" s="38" t="s">
        <v>56</v>
      </c>
      <c r="Q211" s="29">
        <v>24</v>
      </c>
      <c r="R211" s="72"/>
      <c r="S211" s="40">
        <v>40</v>
      </c>
      <c r="T211" s="26"/>
      <c r="U211" s="26"/>
      <c r="V211" s="25">
        <v>40</v>
      </c>
      <c r="W211" s="26"/>
      <c r="X211" s="25">
        <v>40</v>
      </c>
      <c r="Y211" s="53">
        <f>T211+R211+Q211+U211+W211</f>
        <v>24</v>
      </c>
      <c r="Z211" s="27">
        <v>280</v>
      </c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>
        <f>SUM(AM211:AS211)</f>
        <v>0</v>
      </c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9">
        <f>Y211-AV211-AX211-AW211</f>
        <v>24</v>
      </c>
      <c r="AZ211" s="29">
        <f>'Layout for shadhous 3'!E59</f>
        <v>24</v>
      </c>
      <c r="BA211" s="26">
        <f>AL211+AG211+AA211+AT211</f>
        <v>0</v>
      </c>
      <c r="BB211" s="30">
        <f>BD211+AO211+AG211</f>
        <v>0</v>
      </c>
      <c r="BC211" s="30">
        <f>BD211+AS211</f>
        <v>0</v>
      </c>
      <c r="BD211" s="30">
        <f>IF(BA211&gt;0,Y211-BA211,BA211)</f>
        <v>0</v>
      </c>
      <c r="BE211" s="31">
        <v>5</v>
      </c>
      <c r="BF211" s="30" t="s">
        <v>57</v>
      </c>
      <c r="BG211" s="31">
        <f>BE211*Q211</f>
        <v>120</v>
      </c>
      <c r="BH211" s="31">
        <f>BE211*R211*0.4</f>
        <v>0</v>
      </c>
      <c r="BI211" s="142"/>
      <c r="BJ211" s="142"/>
      <c r="BK211" s="32">
        <f>Y211*BE211</f>
        <v>120</v>
      </c>
      <c r="BL211" s="25">
        <v>40</v>
      </c>
      <c r="BM211" s="25">
        <v>40</v>
      </c>
      <c r="BN211" s="25">
        <v>40</v>
      </c>
      <c r="BO211" s="25">
        <v>40</v>
      </c>
      <c r="BP211" s="25">
        <f>BE211*AV211</f>
        <v>0</v>
      </c>
      <c r="BQ211" s="25">
        <f>BE211*AX211</f>
        <v>0</v>
      </c>
      <c r="BR211" s="26"/>
      <c r="BS211" s="32"/>
    </row>
    <row r="212" spans="1:71" s="6" customFormat="1" ht="41.25" customHeight="1">
      <c r="A212" s="18">
        <v>209</v>
      </c>
      <c r="B212" s="18" t="s">
        <v>58</v>
      </c>
      <c r="C212" s="33" t="s">
        <v>59</v>
      </c>
      <c r="D212" s="34" t="s">
        <v>60</v>
      </c>
      <c r="E212" s="20" t="s">
        <v>266</v>
      </c>
      <c r="F212" s="34" t="s">
        <v>62</v>
      </c>
      <c r="G212" s="52" t="s">
        <v>123</v>
      </c>
      <c r="H212" s="22"/>
      <c r="I212" s="22"/>
      <c r="J212" s="22"/>
      <c r="K212" s="22"/>
      <c r="L212" s="20" t="s">
        <v>53</v>
      </c>
      <c r="M212" s="22"/>
      <c r="N212" s="22" t="s">
        <v>267</v>
      </c>
      <c r="O212" s="23" t="s">
        <v>268</v>
      </c>
      <c r="P212" s="18" t="s">
        <v>65</v>
      </c>
      <c r="Q212" s="42"/>
      <c r="R212" s="42"/>
      <c r="S212" s="35">
        <v>15</v>
      </c>
      <c r="T212" s="26"/>
      <c r="U212" s="26"/>
      <c r="V212" s="35">
        <v>15</v>
      </c>
      <c r="W212" s="154"/>
      <c r="X212" s="35">
        <v>15</v>
      </c>
      <c r="Y212" s="26">
        <f>T212+R212+Q212+U212+W212</f>
        <v>0</v>
      </c>
      <c r="Z212" s="27">
        <v>105</v>
      </c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>
        <f>SUM(AM212:AS212)</f>
        <v>0</v>
      </c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72">
        <f>Y212-AV212-AX212-AW212</f>
        <v>0</v>
      </c>
      <c r="AZ212" s="68"/>
      <c r="BA212" s="26">
        <f>AL212+AG212+AA212+AT212</f>
        <v>0</v>
      </c>
      <c r="BB212" s="30">
        <f>BD212+AO212+AG212</f>
        <v>0</v>
      </c>
      <c r="BC212" s="30">
        <f>BD212+AS212</f>
        <v>0</v>
      </c>
      <c r="BD212" s="30">
        <f>IF(BA212&gt;0,Y212-BA212,BA212)</f>
        <v>0</v>
      </c>
      <c r="BE212" s="31">
        <v>56</v>
      </c>
      <c r="BF212" s="30" t="s">
        <v>57</v>
      </c>
      <c r="BG212" s="31">
        <f>BE212*Q212</f>
        <v>0</v>
      </c>
      <c r="BH212" s="31">
        <f>BE212*R212*0.4</f>
        <v>0</v>
      </c>
      <c r="BI212" s="142"/>
      <c r="BJ212" s="142"/>
      <c r="BK212" s="32">
        <f>Y212*BE212</f>
        <v>0</v>
      </c>
      <c r="BL212" s="35">
        <v>15</v>
      </c>
      <c r="BM212" s="35">
        <v>15</v>
      </c>
      <c r="BN212" s="35">
        <v>15</v>
      </c>
      <c r="BO212" s="35">
        <v>15</v>
      </c>
      <c r="BP212" s="25">
        <f>BE212*AV212</f>
        <v>0</v>
      </c>
      <c r="BQ212" s="25">
        <f>BE212*AX212</f>
        <v>0</v>
      </c>
      <c r="BR212" s="26"/>
      <c r="BS212" s="32"/>
    </row>
    <row r="213" spans="1:71" s="6" customFormat="1" ht="41.25" customHeight="1">
      <c r="A213" s="18">
        <v>210</v>
      </c>
      <c r="B213" s="18" t="s">
        <v>66</v>
      </c>
      <c r="C213" s="65" t="s">
        <v>225</v>
      </c>
      <c r="D213" s="56" t="s">
        <v>50</v>
      </c>
      <c r="E213" s="20" t="s">
        <v>269</v>
      </c>
      <c r="F213" s="52" t="s">
        <v>270</v>
      </c>
      <c r="G213" s="21" t="s">
        <v>52</v>
      </c>
      <c r="H213" s="50"/>
      <c r="I213" s="50"/>
      <c r="J213" s="22">
        <v>140</v>
      </c>
      <c r="K213" s="22" t="s">
        <v>519</v>
      </c>
      <c r="L213" s="20" t="s">
        <v>53</v>
      </c>
      <c r="M213" s="22"/>
      <c r="N213" s="22" t="s">
        <v>271</v>
      </c>
      <c r="O213" s="23" t="s">
        <v>272</v>
      </c>
      <c r="P213" s="18" t="s">
        <v>56</v>
      </c>
      <c r="Q213" s="29">
        <v>30</v>
      </c>
      <c r="R213" s="42"/>
      <c r="S213" s="25">
        <v>920</v>
      </c>
      <c r="T213" s="26"/>
      <c r="U213" s="26"/>
      <c r="V213" s="25">
        <v>920</v>
      </c>
      <c r="W213" s="26"/>
      <c r="X213" s="25">
        <v>552</v>
      </c>
      <c r="Y213" s="29">
        <f>T213+R213+Q213+U213+W213</f>
        <v>30</v>
      </c>
      <c r="Z213" s="27">
        <v>4600</v>
      </c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>
        <f>SUM(AM213:AS213)</f>
        <v>0</v>
      </c>
      <c r="AM213" s="26"/>
      <c r="AN213" s="26"/>
      <c r="AO213" s="26"/>
      <c r="AP213" s="26"/>
      <c r="AQ213" s="26"/>
      <c r="AR213" s="26"/>
      <c r="AS213" s="26"/>
      <c r="AT213" s="70">
        <f>20+10</f>
        <v>30</v>
      </c>
      <c r="AU213" s="70">
        <v>20</v>
      </c>
      <c r="AV213" s="26"/>
      <c r="AW213" s="26"/>
      <c r="AX213" s="70">
        <v>10</v>
      </c>
      <c r="AY213" s="29">
        <f>Y213-AV213-AX213-AW213</f>
        <v>20</v>
      </c>
      <c r="AZ213" s="29"/>
      <c r="BA213" s="26">
        <f>AL213+AG213+AA213+AT213</f>
        <v>30</v>
      </c>
      <c r="BB213" s="30">
        <f>BD213+AO213+AG213</f>
        <v>0</v>
      </c>
      <c r="BC213" s="30">
        <f>BD213+AS213</f>
        <v>0</v>
      </c>
      <c r="BD213" s="30">
        <f>IF(BA213&gt;0,Y213-BA213,BA213)</f>
        <v>0</v>
      </c>
      <c r="BE213" s="31">
        <v>22</v>
      </c>
      <c r="BF213" s="30" t="s">
        <v>57</v>
      </c>
      <c r="BG213" s="31">
        <f>BE213*Q213</f>
        <v>660</v>
      </c>
      <c r="BH213" s="31">
        <f>BE213*R213*0.4</f>
        <v>0</v>
      </c>
      <c r="BI213" s="142"/>
      <c r="BJ213" s="142"/>
      <c r="BK213" s="32">
        <f>Y213*BE213</f>
        <v>660</v>
      </c>
      <c r="BL213" s="25">
        <v>552</v>
      </c>
      <c r="BM213" s="25">
        <v>552</v>
      </c>
      <c r="BN213" s="25">
        <v>552</v>
      </c>
      <c r="BO213" s="25">
        <v>552</v>
      </c>
      <c r="BP213" s="25">
        <f>BE213*AV213</f>
        <v>0</v>
      </c>
      <c r="BQ213" s="25">
        <f>BE213*AX213</f>
        <v>220</v>
      </c>
      <c r="BR213" s="26"/>
      <c r="BS213" s="32"/>
    </row>
    <row r="214" spans="1:71" s="6" customFormat="1" ht="41.25" customHeight="1">
      <c r="A214" s="18">
        <v>211</v>
      </c>
      <c r="B214" s="18" t="s">
        <v>48</v>
      </c>
      <c r="C214" s="65" t="s">
        <v>232</v>
      </c>
      <c r="D214" s="19" t="s">
        <v>50</v>
      </c>
      <c r="E214" s="20" t="s">
        <v>273</v>
      </c>
      <c r="F214" s="21" t="s">
        <v>52</v>
      </c>
      <c r="G214" s="21" t="s">
        <v>52</v>
      </c>
      <c r="H214" s="22"/>
      <c r="I214" s="22"/>
      <c r="J214" s="22">
        <v>140</v>
      </c>
      <c r="K214" s="22" t="s">
        <v>523</v>
      </c>
      <c r="L214" s="20" t="s">
        <v>53</v>
      </c>
      <c r="M214" s="22"/>
      <c r="N214" s="22" t="s">
        <v>274</v>
      </c>
      <c r="O214" s="23"/>
      <c r="P214" s="18" t="s">
        <v>56</v>
      </c>
      <c r="Q214" s="72"/>
      <c r="R214" s="72"/>
      <c r="S214" s="25">
        <v>9060</v>
      </c>
      <c r="T214" s="26"/>
      <c r="U214" s="26"/>
      <c r="V214" s="25">
        <v>9060</v>
      </c>
      <c r="W214" s="26"/>
      <c r="X214" s="25">
        <v>5436</v>
      </c>
      <c r="Y214" s="26">
        <f>T214+R214+Q214+U214+W214</f>
        <v>0</v>
      </c>
      <c r="Z214" s="27">
        <v>45300</v>
      </c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41">
        <f>SUM(AM214:AS214)</f>
        <v>542</v>
      </c>
      <c r="AM214" s="26"/>
      <c r="AN214" s="49">
        <v>0</v>
      </c>
      <c r="AO214" s="49">
        <f>343+199</f>
        <v>542</v>
      </c>
      <c r="AP214" s="49"/>
      <c r="AQ214" s="49"/>
      <c r="AR214" s="49"/>
      <c r="AS214" s="49"/>
      <c r="AT214" s="28"/>
      <c r="AU214" s="28"/>
      <c r="AV214" s="26"/>
      <c r="AW214" s="26"/>
      <c r="AX214" s="28"/>
      <c r="AY214" s="72">
        <f>Y214-AV214-AX214-AW214</f>
        <v>0</v>
      </c>
      <c r="AZ214" s="68"/>
      <c r="BA214" s="26">
        <f>AL214+AG214+AA214+AT214</f>
        <v>542</v>
      </c>
      <c r="BB214" s="30">
        <f>BD214+AO214+AG214</f>
        <v>0</v>
      </c>
      <c r="BC214" s="30">
        <f>BD214+AS214</f>
        <v>-542</v>
      </c>
      <c r="BD214" s="30">
        <f>IF(BA214&gt;0,Y214-BA214,BA214)</f>
        <v>-542</v>
      </c>
      <c r="BE214" s="31">
        <v>15</v>
      </c>
      <c r="BF214" s="30" t="s">
        <v>57</v>
      </c>
      <c r="BG214" s="31">
        <f>BE214*Q214</f>
        <v>0</v>
      </c>
      <c r="BH214" s="31">
        <f>BE214*R214*0.4</f>
        <v>0</v>
      </c>
      <c r="BI214" s="31"/>
      <c r="BJ214" s="31"/>
      <c r="BK214" s="32">
        <f>Y214*BE214</f>
        <v>0</v>
      </c>
      <c r="BL214" s="25">
        <v>5436</v>
      </c>
      <c r="BM214" s="25">
        <v>5436</v>
      </c>
      <c r="BN214" s="25">
        <v>5436</v>
      </c>
      <c r="BO214" s="25">
        <v>5436</v>
      </c>
      <c r="BP214" s="25">
        <f>BE214*AV214</f>
        <v>0</v>
      </c>
      <c r="BQ214" s="25">
        <f>BE214*AX214</f>
        <v>0</v>
      </c>
      <c r="BR214" s="26"/>
      <c r="BS214" s="32"/>
    </row>
    <row r="215" spans="1:71" s="6" customFormat="1" ht="41.25" customHeight="1">
      <c r="A215" s="18">
        <v>212</v>
      </c>
      <c r="B215" s="18" t="s">
        <v>94</v>
      </c>
      <c r="C215" s="18" t="s">
        <v>95</v>
      </c>
      <c r="D215" s="18" t="s">
        <v>96</v>
      </c>
      <c r="E215" s="20" t="s">
        <v>97</v>
      </c>
      <c r="F215" s="48" t="s">
        <v>98</v>
      </c>
      <c r="G215" s="48" t="s">
        <v>123</v>
      </c>
      <c r="H215" s="22"/>
      <c r="I215" s="22"/>
      <c r="J215" s="22">
        <v>140</v>
      </c>
      <c r="K215" s="22" t="s">
        <v>523</v>
      </c>
      <c r="L215" s="20" t="s">
        <v>53</v>
      </c>
      <c r="M215" s="22"/>
      <c r="N215" s="22" t="s">
        <v>275</v>
      </c>
      <c r="O215" s="23"/>
      <c r="P215" s="18" t="s">
        <v>56</v>
      </c>
      <c r="Q215" s="59"/>
      <c r="R215" s="59"/>
      <c r="S215" s="25">
        <v>60</v>
      </c>
      <c r="T215" s="26"/>
      <c r="U215" s="26"/>
      <c r="V215" s="25">
        <v>60</v>
      </c>
      <c r="W215" s="26"/>
      <c r="X215" s="25">
        <v>60</v>
      </c>
      <c r="Y215" s="26">
        <f>T215+R215+Q215+U215+W215</f>
        <v>0</v>
      </c>
      <c r="Z215" s="27">
        <v>420</v>
      </c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>
        <f>SUM(AM215:AS215)</f>
        <v>0</v>
      </c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72">
        <f>Y215-AV215-AX215-AW215</f>
        <v>0</v>
      </c>
      <c r="AZ215" s="68"/>
      <c r="BA215" s="26">
        <f>AL215+AG215+AA215+AT215</f>
        <v>0</v>
      </c>
      <c r="BB215" s="30">
        <f>BD215+AO215+AG215</f>
        <v>0</v>
      </c>
      <c r="BC215" s="30">
        <f>BD215+AS215</f>
        <v>0</v>
      </c>
      <c r="BD215" s="30">
        <f>IF(BA215&gt;0,Y215-BA215,BA215)</f>
        <v>0</v>
      </c>
      <c r="BE215" s="31">
        <v>8</v>
      </c>
      <c r="BF215" s="30" t="s">
        <v>57</v>
      </c>
      <c r="BG215" s="31">
        <f>BE215*Q215</f>
        <v>0</v>
      </c>
      <c r="BH215" s="31">
        <f>BE215*R215*0.4</f>
        <v>0</v>
      </c>
      <c r="BI215" s="31"/>
      <c r="BJ215" s="31"/>
      <c r="BK215" s="32">
        <f>Y215*BE215</f>
        <v>0</v>
      </c>
      <c r="BL215" s="25">
        <v>60</v>
      </c>
      <c r="BM215" s="25">
        <v>60</v>
      </c>
      <c r="BN215" s="25">
        <v>60</v>
      </c>
      <c r="BO215" s="25">
        <v>60</v>
      </c>
      <c r="BP215" s="25">
        <f>BE215*AV215</f>
        <v>0</v>
      </c>
      <c r="BQ215" s="25">
        <f>BE215*AX215</f>
        <v>0</v>
      </c>
      <c r="BR215" s="26"/>
      <c r="BS215" s="32"/>
    </row>
    <row r="216" spans="1:71" s="6" customFormat="1" ht="41.25" customHeight="1">
      <c r="A216" s="18">
        <v>213</v>
      </c>
      <c r="B216" s="18" t="s">
        <v>94</v>
      </c>
      <c r="C216" s="18" t="s">
        <v>276</v>
      </c>
      <c r="D216" s="18" t="s">
        <v>96</v>
      </c>
      <c r="E216" s="20" t="s">
        <v>277</v>
      </c>
      <c r="F216" s="60" t="s">
        <v>155</v>
      </c>
      <c r="G216" s="48" t="s">
        <v>123</v>
      </c>
      <c r="H216" s="22"/>
      <c r="I216" s="22"/>
      <c r="J216" s="22"/>
      <c r="K216" s="22"/>
      <c r="L216" s="20" t="s">
        <v>53</v>
      </c>
      <c r="M216" s="22"/>
      <c r="N216" s="22" t="s">
        <v>278</v>
      </c>
      <c r="O216" s="23"/>
      <c r="P216" s="18" t="s">
        <v>56</v>
      </c>
      <c r="Q216" s="26"/>
      <c r="R216" s="26"/>
      <c r="S216" s="25"/>
      <c r="T216" s="26"/>
      <c r="U216" s="26"/>
      <c r="V216" s="25"/>
      <c r="W216" s="29">
        <v>30</v>
      </c>
      <c r="X216" s="25">
        <v>200</v>
      </c>
      <c r="Y216" s="53">
        <f>T216+R216+Q216+U216+W216</f>
        <v>30</v>
      </c>
      <c r="Z216" s="27">
        <v>200</v>
      </c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>
        <f>SUM(AM216:AS216)</f>
        <v>0</v>
      </c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9">
        <f>Y216-AV216-AX216-AW216</f>
        <v>30</v>
      </c>
      <c r="AZ216" s="29"/>
      <c r="BA216" s="26">
        <f>AL216+AG216+AA216+AT216</f>
        <v>0</v>
      </c>
      <c r="BB216" s="30">
        <f>BD216+AO216+AG216</f>
        <v>0</v>
      </c>
      <c r="BC216" s="30">
        <f>BD216+AS216</f>
        <v>0</v>
      </c>
      <c r="BD216" s="30">
        <f>IF(BA216&gt;0,Y216-BA216,BA216)</f>
        <v>0</v>
      </c>
      <c r="BE216" s="31">
        <v>5</v>
      </c>
      <c r="BF216" s="30" t="s">
        <v>57</v>
      </c>
      <c r="BG216" s="31">
        <f>BE216*Q216</f>
        <v>0</v>
      </c>
      <c r="BH216" s="31">
        <f>BE216*R216*0.4</f>
        <v>0</v>
      </c>
      <c r="BI216" s="142"/>
      <c r="BJ216" s="142"/>
      <c r="BK216" s="32">
        <f>Y216*BE216</f>
        <v>150</v>
      </c>
      <c r="BL216" s="25"/>
      <c r="BM216" s="25"/>
      <c r="BN216" s="25"/>
      <c r="BO216" s="25"/>
      <c r="BP216" s="25">
        <f>BE216*AV216</f>
        <v>0</v>
      </c>
      <c r="BQ216" s="25">
        <f>BE216*AX216</f>
        <v>0</v>
      </c>
      <c r="BR216" s="26"/>
      <c r="BS216" s="32"/>
    </row>
    <row r="217" spans="1:71" s="6" customFormat="1" ht="41.25" customHeight="1">
      <c r="A217" s="18">
        <v>214</v>
      </c>
      <c r="B217" s="18" t="s">
        <v>94</v>
      </c>
      <c r="C217" s="18" t="s">
        <v>215</v>
      </c>
      <c r="D217" s="18" t="s">
        <v>96</v>
      </c>
      <c r="E217" s="20" t="s">
        <v>216</v>
      </c>
      <c r="F217" s="21" t="s">
        <v>52</v>
      </c>
      <c r="G217" s="21" t="s">
        <v>52</v>
      </c>
      <c r="H217" s="22"/>
      <c r="I217" s="22"/>
      <c r="J217" s="22">
        <v>300</v>
      </c>
      <c r="K217" s="22" t="s">
        <v>551</v>
      </c>
      <c r="L217" s="20" t="s">
        <v>53</v>
      </c>
      <c r="M217" s="22"/>
      <c r="N217" s="22" t="s">
        <v>279</v>
      </c>
      <c r="O217" s="23"/>
      <c r="P217" s="18" t="s">
        <v>56</v>
      </c>
      <c r="Q217" s="72"/>
      <c r="R217" s="72"/>
      <c r="S217" s="25"/>
      <c r="T217" s="26"/>
      <c r="U217" s="26"/>
      <c r="V217" s="25"/>
      <c r="W217" s="26"/>
      <c r="X217" s="25"/>
      <c r="Y217" s="26">
        <f>T217+R217+Q217+U217+W217</f>
        <v>0</v>
      </c>
      <c r="Z217" s="27">
        <v>200</v>
      </c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>
        <f>SUM(AM217:AS217)</f>
        <v>0</v>
      </c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72">
        <f>Y217-AV217-AX217-AW217</f>
        <v>0</v>
      </c>
      <c r="AZ217" s="68"/>
      <c r="BA217" s="26">
        <f>AL217+AG217+AA217+AT217</f>
        <v>0</v>
      </c>
      <c r="BB217" s="30">
        <f>BD217+AO217+AG217</f>
        <v>0</v>
      </c>
      <c r="BC217" s="30">
        <f>BD217+AS217</f>
        <v>0</v>
      </c>
      <c r="BD217" s="30">
        <f>IF(BA217&gt;0,Y217-BA217,BA217)</f>
        <v>0</v>
      </c>
      <c r="BE217" s="31"/>
      <c r="BF217" s="30" t="s">
        <v>57</v>
      </c>
      <c r="BG217" s="31">
        <f>BE217*Q217</f>
        <v>0</v>
      </c>
      <c r="BH217" s="31">
        <f>BE217*R217*0.4</f>
        <v>0</v>
      </c>
      <c r="BI217" s="31"/>
      <c r="BJ217" s="31"/>
      <c r="BK217" s="32">
        <f>Y217*BE217</f>
        <v>0</v>
      </c>
      <c r="BL217" s="25"/>
      <c r="BM217" s="25">
        <v>200</v>
      </c>
      <c r="BN217" s="25"/>
      <c r="BO217" s="25"/>
      <c r="BP217" s="25">
        <f>BE217*AV217</f>
        <v>0</v>
      </c>
      <c r="BQ217" s="25">
        <f>BE217*AX217</f>
        <v>0</v>
      </c>
      <c r="BR217" s="26"/>
      <c r="BS217" s="32"/>
    </row>
    <row r="218" spans="1:71" s="6" customFormat="1" ht="41.25" customHeight="1">
      <c r="A218" s="18">
        <v>215</v>
      </c>
      <c r="B218" s="18" t="s">
        <v>87</v>
      </c>
      <c r="C218" s="18" t="s">
        <v>172</v>
      </c>
      <c r="D218" s="47" t="s">
        <v>89</v>
      </c>
      <c r="E218" s="22" t="s">
        <v>280</v>
      </c>
      <c r="F218" s="71" t="s">
        <v>281</v>
      </c>
      <c r="G218" s="71" t="s">
        <v>123</v>
      </c>
      <c r="H218" s="22"/>
      <c r="I218" s="22" t="s">
        <v>129</v>
      </c>
      <c r="J218" s="22"/>
      <c r="K218" s="22"/>
      <c r="L218" s="22"/>
      <c r="M218" s="22"/>
      <c r="N218" s="22" t="s">
        <v>282</v>
      </c>
      <c r="O218" s="23" t="s">
        <v>283</v>
      </c>
      <c r="P218" s="18" t="s">
        <v>56</v>
      </c>
      <c r="Q218" s="72"/>
      <c r="R218" s="72"/>
      <c r="S218" s="25">
        <v>200</v>
      </c>
      <c r="T218" s="26"/>
      <c r="U218" s="26"/>
      <c r="V218" s="25"/>
      <c r="W218" s="26"/>
      <c r="X218" s="25"/>
      <c r="Y218" s="26">
        <f>T218+R218+Q218+U218+W218</f>
        <v>0</v>
      </c>
      <c r="Z218" s="27">
        <v>200</v>
      </c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>
        <f>SUM(AM218:AS218)</f>
        <v>0</v>
      </c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72">
        <f>Y218-AV218-AX218-AW218</f>
        <v>0</v>
      </c>
      <c r="AZ218" s="68"/>
      <c r="BA218" s="26">
        <f>AL218+AG218+AA218+AT218</f>
        <v>0</v>
      </c>
      <c r="BB218" s="30">
        <f>BD218+AO218+AG218</f>
        <v>0</v>
      </c>
      <c r="BC218" s="30">
        <f>BD218+AS218</f>
        <v>0</v>
      </c>
      <c r="BD218" s="30">
        <f>IF(BA218&gt;0,Y218-BA218,BA218)</f>
        <v>0</v>
      </c>
      <c r="BE218" s="31">
        <v>19</v>
      </c>
      <c r="BF218" s="30" t="s">
        <v>57</v>
      </c>
      <c r="BG218" s="31">
        <f>BE218*Q218</f>
        <v>0</v>
      </c>
      <c r="BH218" s="31">
        <f>BE218*R218*0.4</f>
        <v>0</v>
      </c>
      <c r="BI218" s="31"/>
      <c r="BJ218" s="31"/>
      <c r="BK218" s="32">
        <f>Y218*BE218</f>
        <v>0</v>
      </c>
      <c r="BL218" s="25"/>
      <c r="BM218" s="25"/>
      <c r="BN218" s="25"/>
      <c r="BO218" s="25"/>
      <c r="BP218" s="25">
        <f>BE218*AV218</f>
        <v>0</v>
      </c>
      <c r="BQ218" s="25">
        <f>BE218*AX218</f>
        <v>0</v>
      </c>
      <c r="BR218" s="26"/>
      <c r="BS218" s="32"/>
    </row>
    <row r="219" spans="1:71" s="6" customFormat="1" ht="41.25" customHeight="1">
      <c r="A219" s="18">
        <v>216</v>
      </c>
      <c r="B219" s="18" t="s">
        <v>66</v>
      </c>
      <c r="C219" s="65" t="s">
        <v>225</v>
      </c>
      <c r="D219" s="56" t="s">
        <v>50</v>
      </c>
      <c r="E219" s="20" t="s">
        <v>269</v>
      </c>
      <c r="F219" s="21" t="s">
        <v>52</v>
      </c>
      <c r="G219" s="21" t="s">
        <v>52</v>
      </c>
      <c r="H219" s="22"/>
      <c r="I219" s="22"/>
      <c r="J219" s="22"/>
      <c r="K219" s="22"/>
      <c r="L219" s="20" t="s">
        <v>53</v>
      </c>
      <c r="M219" s="22"/>
      <c r="N219" s="22" t="s">
        <v>284</v>
      </c>
      <c r="O219" s="23" t="s">
        <v>285</v>
      </c>
      <c r="P219" s="18" t="s">
        <v>56</v>
      </c>
      <c r="Q219" s="29">
        <v>1450</v>
      </c>
      <c r="R219" s="72"/>
      <c r="S219" s="25">
        <v>1820</v>
      </c>
      <c r="T219" s="26"/>
      <c r="U219" s="26"/>
      <c r="V219" s="25">
        <v>1820</v>
      </c>
      <c r="W219" s="26"/>
      <c r="X219" s="25">
        <v>1092</v>
      </c>
      <c r="Y219" s="29">
        <f>T219+R219+Q219+U219+W219</f>
        <v>1450</v>
      </c>
      <c r="Z219" s="27">
        <v>9100</v>
      </c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>
        <f>SUM(AM219:AS219)</f>
        <v>0</v>
      </c>
      <c r="AM219" s="26"/>
      <c r="AN219" s="26"/>
      <c r="AO219" s="26"/>
      <c r="AP219" s="26"/>
      <c r="AQ219" s="26"/>
      <c r="AR219" s="26"/>
      <c r="AS219" s="26"/>
      <c r="AT219" s="70">
        <f>1790+1450</f>
        <v>3240</v>
      </c>
      <c r="AU219" s="70">
        <v>1790</v>
      </c>
      <c r="AV219" s="26"/>
      <c r="AW219" s="26"/>
      <c r="AX219" s="70">
        <v>1450</v>
      </c>
      <c r="AY219" s="72">
        <f>Y219-AV219-AX219-AW219</f>
        <v>0</v>
      </c>
      <c r="AZ219" s="68"/>
      <c r="BA219" s="26">
        <f>AL219+AG219+AA219+AT219</f>
        <v>3240</v>
      </c>
      <c r="BB219" s="30">
        <f>BD219+AO219+AG219</f>
        <v>-1790</v>
      </c>
      <c r="BC219" s="30">
        <f>BD219+AS219</f>
        <v>-1790</v>
      </c>
      <c r="BD219" s="30">
        <f>IF(BA219&gt;0,Y219-BA219,BA219)</f>
        <v>-1790</v>
      </c>
      <c r="BE219" s="31">
        <v>22</v>
      </c>
      <c r="BF219" s="30" t="s">
        <v>57</v>
      </c>
      <c r="BG219" s="31">
        <f>BE219*Q219</f>
        <v>31900</v>
      </c>
      <c r="BH219" s="31">
        <f>BE219*R219*0.4</f>
        <v>0</v>
      </c>
      <c r="BI219" s="142"/>
      <c r="BJ219" s="142"/>
      <c r="BK219" s="32">
        <f>Y219*BE219</f>
        <v>31900</v>
      </c>
      <c r="BL219" s="25">
        <v>1092</v>
      </c>
      <c r="BM219" s="25">
        <v>1092</v>
      </c>
      <c r="BN219" s="25">
        <v>1092</v>
      </c>
      <c r="BO219" s="25">
        <v>1092</v>
      </c>
      <c r="BP219" s="25">
        <f>BE219*AV219</f>
        <v>0</v>
      </c>
      <c r="BQ219" s="25">
        <f>BE219*AX219</f>
        <v>31900</v>
      </c>
      <c r="BR219" s="26"/>
      <c r="BS219" s="32"/>
    </row>
    <row r="220" spans="1:71" s="6" customFormat="1" ht="41.25" customHeight="1">
      <c r="A220" s="18">
        <v>217</v>
      </c>
      <c r="B220" s="18" t="s">
        <v>94</v>
      </c>
      <c r="C220" s="18" t="s">
        <v>144</v>
      </c>
      <c r="D220" s="18" t="s">
        <v>96</v>
      </c>
      <c r="E220" s="20" t="s">
        <v>153</v>
      </c>
      <c r="F220" s="58" t="s">
        <v>146</v>
      </c>
      <c r="G220" s="58" t="s">
        <v>147</v>
      </c>
      <c r="H220" s="22"/>
      <c r="I220" s="22"/>
      <c r="J220" s="22"/>
      <c r="K220" s="22"/>
      <c r="L220" s="20" t="s">
        <v>53</v>
      </c>
      <c r="M220" s="22"/>
      <c r="N220" s="22" t="s">
        <v>286</v>
      </c>
      <c r="O220" s="23" t="s">
        <v>287</v>
      </c>
      <c r="P220" s="18" t="s">
        <v>56</v>
      </c>
      <c r="Q220" s="72"/>
      <c r="R220" s="72"/>
      <c r="S220" s="25">
        <v>60</v>
      </c>
      <c r="T220" s="26"/>
      <c r="U220" s="26"/>
      <c r="V220" s="25">
        <v>60</v>
      </c>
      <c r="W220" s="26"/>
      <c r="X220" s="25">
        <v>60</v>
      </c>
      <c r="Y220" s="26">
        <f>T220+R220+Q220+U220+W220</f>
        <v>0</v>
      </c>
      <c r="Z220" s="27">
        <v>420</v>
      </c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>
        <f>SUM(AM220:AS220)</f>
        <v>0</v>
      </c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72">
        <f>Y220-AV220-AX220-AW220</f>
        <v>0</v>
      </c>
      <c r="AZ220" s="68"/>
      <c r="BA220" s="26">
        <f>AL220+AG220+AA220+AT220</f>
        <v>0</v>
      </c>
      <c r="BB220" s="30">
        <f>BD220+AO220+AG220</f>
        <v>0</v>
      </c>
      <c r="BC220" s="30">
        <f>BD220+AS220</f>
        <v>0</v>
      </c>
      <c r="BD220" s="30">
        <f>IF(BA220&gt;0,Y220-BA220,BA220)</f>
        <v>0</v>
      </c>
      <c r="BE220" s="31">
        <v>162</v>
      </c>
      <c r="BF220" s="30" t="s">
        <v>57</v>
      </c>
      <c r="BG220" s="31">
        <f>BE220*Q220</f>
        <v>0</v>
      </c>
      <c r="BH220" s="31">
        <f>BE220*R220*0.4</f>
        <v>0</v>
      </c>
      <c r="BI220" s="142"/>
      <c r="BJ220" s="142"/>
      <c r="BK220" s="32">
        <f>Y220*BE220</f>
        <v>0</v>
      </c>
      <c r="BL220" s="25">
        <v>60</v>
      </c>
      <c r="BM220" s="25">
        <v>60</v>
      </c>
      <c r="BN220" s="25">
        <v>60</v>
      </c>
      <c r="BO220" s="25">
        <v>60</v>
      </c>
      <c r="BP220" s="25">
        <f>BE220*AV220</f>
        <v>0</v>
      </c>
      <c r="BQ220" s="25">
        <f>BE220*AX220</f>
        <v>0</v>
      </c>
      <c r="BR220" s="26"/>
      <c r="BS220" s="32"/>
    </row>
    <row r="221" spans="1:71" s="6" customFormat="1" ht="41.25" customHeight="1">
      <c r="A221" s="18">
        <v>218</v>
      </c>
      <c r="B221" s="18" t="s">
        <v>94</v>
      </c>
      <c r="C221" s="66" t="s">
        <v>209</v>
      </c>
      <c r="D221" s="18" t="s">
        <v>96</v>
      </c>
      <c r="E221" s="20" t="s">
        <v>210</v>
      </c>
      <c r="F221" s="66" t="s">
        <v>209</v>
      </c>
      <c r="G221" s="66" t="s">
        <v>52</v>
      </c>
      <c r="H221" s="50"/>
      <c r="I221" s="50"/>
      <c r="J221" s="22"/>
      <c r="K221" s="22"/>
      <c r="L221" s="20" t="s">
        <v>53</v>
      </c>
      <c r="M221" s="22"/>
      <c r="N221" s="22" t="s">
        <v>288</v>
      </c>
      <c r="O221" s="23"/>
      <c r="P221" s="18" t="s">
        <v>56</v>
      </c>
      <c r="Q221" s="146"/>
      <c r="R221" s="146"/>
      <c r="S221" s="25"/>
      <c r="T221" s="29">
        <v>450</v>
      </c>
      <c r="U221" s="26"/>
      <c r="V221" s="25">
        <v>200</v>
      </c>
      <c r="W221" s="26"/>
      <c r="X221" s="25"/>
      <c r="Y221" s="53">
        <f>T221+R221+Q221+U221+W221</f>
        <v>450</v>
      </c>
      <c r="Z221" s="27">
        <v>200</v>
      </c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>
        <f>SUM(AM221:AS221)</f>
        <v>0</v>
      </c>
      <c r="AM221" s="26"/>
      <c r="AN221" s="26"/>
      <c r="AO221" s="26"/>
      <c r="AP221" s="26"/>
      <c r="AQ221" s="26"/>
      <c r="AR221" s="26"/>
      <c r="AS221" s="26"/>
      <c r="AT221" s="70">
        <f>750+450</f>
        <v>1200</v>
      </c>
      <c r="AU221" s="70">
        <v>750</v>
      </c>
      <c r="AV221" s="26"/>
      <c r="AW221" s="26"/>
      <c r="AX221" s="70">
        <v>450</v>
      </c>
      <c r="AY221" s="72">
        <f>Y221-AV221-AX221-AW221</f>
        <v>0</v>
      </c>
      <c r="AZ221" s="68"/>
      <c r="BA221" s="26">
        <f>AL221+AG221+AA221+AT221</f>
        <v>1200</v>
      </c>
      <c r="BB221" s="30">
        <f>BD221+AO221+AG221</f>
        <v>-750</v>
      </c>
      <c r="BC221" s="30">
        <f>BD221+AS221</f>
        <v>-750</v>
      </c>
      <c r="BD221" s="30">
        <f>IF(BA221&gt;0,Y221-BA221,BA221)</f>
        <v>-750</v>
      </c>
      <c r="BE221" s="31">
        <v>3</v>
      </c>
      <c r="BF221" s="30" t="s">
        <v>57</v>
      </c>
      <c r="BG221" s="31">
        <f>BE221*Q221</f>
        <v>0</v>
      </c>
      <c r="BH221" s="31">
        <f>BE221*R221*0.4</f>
        <v>0</v>
      </c>
      <c r="BI221" s="142"/>
      <c r="BJ221" s="142"/>
      <c r="BK221" s="32">
        <f>Y221*BE221</f>
        <v>1350</v>
      </c>
      <c r="BL221" s="25"/>
      <c r="BM221" s="25"/>
      <c r="BN221" s="25"/>
      <c r="BO221" s="25"/>
      <c r="BP221" s="25">
        <f>BE221*AV221</f>
        <v>0</v>
      </c>
      <c r="BQ221" s="25">
        <f>BE221*AX221</f>
        <v>1350</v>
      </c>
      <c r="BR221" s="26"/>
      <c r="BS221" s="32"/>
    </row>
    <row r="222" spans="1:71" s="6" customFormat="1" ht="41.25" customHeight="1">
      <c r="A222" s="18">
        <v>219</v>
      </c>
      <c r="B222" s="18" t="s">
        <v>94</v>
      </c>
      <c r="C222" s="18" t="s">
        <v>132</v>
      </c>
      <c r="D222" s="18" t="s">
        <v>96</v>
      </c>
      <c r="E222" s="22" t="s">
        <v>293</v>
      </c>
      <c r="F222" s="52" t="s">
        <v>123</v>
      </c>
      <c r="G222" s="52" t="s">
        <v>123</v>
      </c>
      <c r="H222" s="22"/>
      <c r="I222" s="22"/>
      <c r="J222" s="22"/>
      <c r="K222" s="22"/>
      <c r="L222" s="22"/>
      <c r="M222" s="22"/>
      <c r="N222" s="22" t="s">
        <v>294</v>
      </c>
      <c r="O222" s="23"/>
      <c r="P222" s="38" t="s">
        <v>56</v>
      </c>
      <c r="Q222" s="29">
        <v>7500</v>
      </c>
      <c r="R222" s="146"/>
      <c r="S222" s="40">
        <v>60</v>
      </c>
      <c r="T222" s="29">
        <v>60</v>
      </c>
      <c r="U222" s="26"/>
      <c r="V222" s="25">
        <v>60</v>
      </c>
      <c r="W222" s="29">
        <v>15</v>
      </c>
      <c r="X222" s="25">
        <v>60</v>
      </c>
      <c r="Y222" s="53">
        <f>T222+R222+Q222+U222+W222</f>
        <v>7575</v>
      </c>
      <c r="Z222" s="27">
        <v>420</v>
      </c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>
        <f>SUM(AM222:AS222)</f>
        <v>0</v>
      </c>
      <c r="AM222" s="26"/>
      <c r="AN222" s="26"/>
      <c r="AO222" s="26"/>
      <c r="AP222" s="26"/>
      <c r="AQ222" s="26"/>
      <c r="AR222" s="26"/>
      <c r="AS222" s="26"/>
      <c r="AT222" s="70">
        <v>7500</v>
      </c>
      <c r="AU222" s="70"/>
      <c r="AV222" s="26"/>
      <c r="AW222" s="26"/>
      <c r="AX222" s="70">
        <f>3000+1500+1500+1500</f>
        <v>7500</v>
      </c>
      <c r="AY222" s="29">
        <f>Y222-AV222-AX222-AW222</f>
        <v>75</v>
      </c>
      <c r="AZ222" s="29">
        <f>'Layout for shadhous 3'!E60</f>
        <v>75</v>
      </c>
      <c r="BA222" s="26">
        <f>AL222+AG222+AA222+AT222</f>
        <v>7500</v>
      </c>
      <c r="BB222" s="30">
        <f>BD222+AO222+AG222</f>
        <v>75</v>
      </c>
      <c r="BC222" s="30">
        <f>BD222+AS222</f>
        <v>75</v>
      </c>
      <c r="BD222" s="30">
        <f>IF(BA222&gt;0,Y222-BA222,BA222)</f>
        <v>75</v>
      </c>
      <c r="BE222" s="31">
        <v>5</v>
      </c>
      <c r="BF222" s="30" t="s">
        <v>57</v>
      </c>
      <c r="BG222" s="31">
        <f>BE222*Q222</f>
        <v>37500</v>
      </c>
      <c r="BH222" s="31">
        <f>BE222*R222*0.4</f>
        <v>0</v>
      </c>
      <c r="BI222" s="142"/>
      <c r="BJ222" s="142"/>
      <c r="BK222" s="32">
        <f>Y222*BE222</f>
        <v>37875</v>
      </c>
      <c r="BL222" s="25">
        <v>60</v>
      </c>
      <c r="BM222" s="25">
        <v>60</v>
      </c>
      <c r="BN222" s="25">
        <v>60</v>
      </c>
      <c r="BO222" s="25">
        <v>60</v>
      </c>
      <c r="BP222" s="25">
        <f>BE222*AV222</f>
        <v>0</v>
      </c>
      <c r="BQ222" s="25">
        <f>BE222*AX222</f>
        <v>37500</v>
      </c>
      <c r="BR222" s="26"/>
      <c r="BS222" s="32"/>
    </row>
    <row r="223" spans="1:71" s="6" customFormat="1" ht="41.25" customHeight="1">
      <c r="A223" s="18">
        <v>220</v>
      </c>
      <c r="B223" s="18" t="s">
        <v>94</v>
      </c>
      <c r="C223" s="18" t="s">
        <v>132</v>
      </c>
      <c r="D223" s="18" t="s">
        <v>96</v>
      </c>
      <c r="E223" s="22" t="s">
        <v>293</v>
      </c>
      <c r="F223" s="52" t="s">
        <v>123</v>
      </c>
      <c r="G223" s="52" t="s">
        <v>123</v>
      </c>
      <c r="H223" s="22"/>
      <c r="I223" s="22"/>
      <c r="J223" s="22"/>
      <c r="K223" s="22"/>
      <c r="L223" s="22"/>
      <c r="M223" s="22"/>
      <c r="N223" s="22" t="s">
        <v>295</v>
      </c>
      <c r="O223" s="23"/>
      <c r="P223" s="18" t="s">
        <v>56</v>
      </c>
      <c r="Q223" s="72"/>
      <c r="R223" s="147"/>
      <c r="S223" s="25">
        <v>60</v>
      </c>
      <c r="T223" s="26"/>
      <c r="U223" s="84"/>
      <c r="V223" s="25">
        <v>60</v>
      </c>
      <c r="W223" s="26"/>
      <c r="X223" s="25">
        <v>60</v>
      </c>
      <c r="Y223" s="26">
        <f>T223+R223+Q223+U223+W223</f>
        <v>0</v>
      </c>
      <c r="Z223" s="27">
        <v>420</v>
      </c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>
        <f>SUM(AM223:AS223)</f>
        <v>0</v>
      </c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72">
        <f>Y223-AV223-AX223-AW223</f>
        <v>0</v>
      </c>
      <c r="AZ223" s="68"/>
      <c r="BA223" s="26">
        <f>AL223+AG223+AA223+AT223</f>
        <v>0</v>
      </c>
      <c r="BB223" s="30">
        <f>BD223+AO223+AG223</f>
        <v>0</v>
      </c>
      <c r="BC223" s="30">
        <f>BD223+AS223</f>
        <v>0</v>
      </c>
      <c r="BD223" s="30">
        <f>IF(BA223&gt;0,Y223-BA223,BA223)</f>
        <v>0</v>
      </c>
      <c r="BE223" s="31">
        <v>5</v>
      </c>
      <c r="BF223" s="30" t="s">
        <v>57</v>
      </c>
      <c r="BG223" s="31">
        <f>BE223*Q223</f>
        <v>0</v>
      </c>
      <c r="BH223" s="31">
        <f>BE223*R223*0.4</f>
        <v>0</v>
      </c>
      <c r="BI223" s="142"/>
      <c r="BJ223" s="142"/>
      <c r="BK223" s="32">
        <f>Y223*BE223</f>
        <v>0</v>
      </c>
      <c r="BL223" s="25">
        <v>60</v>
      </c>
      <c r="BM223" s="25">
        <v>60</v>
      </c>
      <c r="BN223" s="25">
        <v>60</v>
      </c>
      <c r="BO223" s="25">
        <v>60</v>
      </c>
      <c r="BP223" s="25">
        <f>BE223*AV223</f>
        <v>0</v>
      </c>
      <c r="BQ223" s="25">
        <f>BE223*AX223</f>
        <v>0</v>
      </c>
      <c r="BR223" s="26"/>
      <c r="BS223" s="32"/>
    </row>
    <row r="224" spans="1:71" s="6" customFormat="1" ht="41.25" customHeight="1">
      <c r="A224" s="18">
        <v>221</v>
      </c>
      <c r="B224" s="18" t="s">
        <v>94</v>
      </c>
      <c r="C224" s="18" t="s">
        <v>209</v>
      </c>
      <c r="D224" s="18" t="s">
        <v>96</v>
      </c>
      <c r="E224" s="20" t="s">
        <v>210</v>
      </c>
      <c r="F224" s="18" t="s">
        <v>209</v>
      </c>
      <c r="G224" s="18" t="s">
        <v>128</v>
      </c>
      <c r="H224" s="22"/>
      <c r="I224" s="22"/>
      <c r="J224" s="22"/>
      <c r="K224" s="22"/>
      <c r="L224" s="20" t="s">
        <v>53</v>
      </c>
      <c r="M224" s="22"/>
      <c r="N224" s="22" t="s">
        <v>299</v>
      </c>
      <c r="O224" s="23"/>
      <c r="P224" s="18" t="s">
        <v>56</v>
      </c>
      <c r="Q224" s="72"/>
      <c r="R224" s="72"/>
      <c r="S224" s="25"/>
      <c r="T224" s="26"/>
      <c r="U224" s="26"/>
      <c r="V224" s="25"/>
      <c r="W224" s="63">
        <v>200</v>
      </c>
      <c r="X224" s="25">
        <v>200</v>
      </c>
      <c r="Y224" s="53">
        <f>T224+R224+Q224+U224+W224</f>
        <v>200</v>
      </c>
      <c r="Z224" s="27">
        <v>200</v>
      </c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>
        <f>SUM(AM224:AS224)</f>
        <v>0</v>
      </c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9">
        <f>Y224-AV224-AX224-AW224</f>
        <v>200</v>
      </c>
      <c r="AZ224" s="29"/>
      <c r="BA224" s="26">
        <f>AL224+AG224+AA224+AT224</f>
        <v>0</v>
      </c>
      <c r="BB224" s="30">
        <f>BD224+AO224+AG224</f>
        <v>0</v>
      </c>
      <c r="BC224" s="30">
        <f>BD224+AS224</f>
        <v>0</v>
      </c>
      <c r="BD224" s="30">
        <f>IF(BA224&gt;0,Y224-BA224,BA224)</f>
        <v>0</v>
      </c>
      <c r="BE224" s="31">
        <v>5</v>
      </c>
      <c r="BF224" s="30" t="s">
        <v>57</v>
      </c>
      <c r="BG224" s="31">
        <f>BE224*Q224</f>
        <v>0</v>
      </c>
      <c r="BH224" s="31">
        <f>BE224*R224*0.4</f>
        <v>0</v>
      </c>
      <c r="BI224" s="142"/>
      <c r="BJ224" s="142"/>
      <c r="BK224" s="32">
        <f>Y224*BE224</f>
        <v>1000</v>
      </c>
      <c r="BL224" s="25"/>
      <c r="BM224" s="25"/>
      <c r="BN224" s="25"/>
      <c r="BO224" s="25"/>
      <c r="BP224" s="25">
        <f>BE224*AV224</f>
        <v>0</v>
      </c>
      <c r="BQ224" s="25">
        <f>BE224*AX224</f>
        <v>0</v>
      </c>
      <c r="BR224" s="26"/>
      <c r="BS224" s="32"/>
    </row>
    <row r="225" spans="1:71" s="6" customFormat="1" ht="41.25" customHeight="1">
      <c r="A225" s="18">
        <v>222</v>
      </c>
      <c r="B225" s="18" t="s">
        <v>94</v>
      </c>
      <c r="C225" s="18" t="s">
        <v>121</v>
      </c>
      <c r="D225" s="18" t="s">
        <v>96</v>
      </c>
      <c r="E225" s="22" t="s">
        <v>308</v>
      </c>
      <c r="F225" s="52" t="s">
        <v>123</v>
      </c>
      <c r="G225" s="52" t="s">
        <v>52</v>
      </c>
      <c r="H225" s="22"/>
      <c r="I225" s="22"/>
      <c r="J225" s="22"/>
      <c r="K225" s="22"/>
      <c r="L225" s="22"/>
      <c r="M225" s="22"/>
      <c r="N225" s="22" t="s">
        <v>309</v>
      </c>
      <c r="O225" s="23"/>
      <c r="P225" s="18" t="s">
        <v>56</v>
      </c>
      <c r="Q225" s="72"/>
      <c r="R225" s="72"/>
      <c r="S225" s="25">
        <v>40</v>
      </c>
      <c r="T225" s="26"/>
      <c r="U225" s="26"/>
      <c r="V225" s="25">
        <v>40</v>
      </c>
      <c r="W225" s="26"/>
      <c r="X225" s="25">
        <v>40</v>
      </c>
      <c r="Y225" s="26">
        <f>T225+R225+Q225+U225+W225</f>
        <v>0</v>
      </c>
      <c r="Z225" s="27">
        <v>280</v>
      </c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>
        <f>SUM(AM225:AS225)</f>
        <v>0</v>
      </c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72">
        <f>Y225-AV225-AX225-AW225</f>
        <v>0</v>
      </c>
      <c r="AZ225" s="68"/>
      <c r="BA225" s="26">
        <f>AL225+AG225+AA225+AT225</f>
        <v>0</v>
      </c>
      <c r="BB225" s="30">
        <f>BD225+AO225+AG225</f>
        <v>0</v>
      </c>
      <c r="BC225" s="30">
        <f>BD225+AS225</f>
        <v>0</v>
      </c>
      <c r="BD225" s="30">
        <f>IF(BA225&gt;0,Y225-BA225,BA225)</f>
        <v>0</v>
      </c>
      <c r="BE225" s="31">
        <v>5</v>
      </c>
      <c r="BF225" s="30" t="s">
        <v>57</v>
      </c>
      <c r="BG225" s="31">
        <f>BE225*Q225</f>
        <v>0</v>
      </c>
      <c r="BH225" s="31">
        <f>BE225*R225*0.4</f>
        <v>0</v>
      </c>
      <c r="BI225" s="142"/>
      <c r="BJ225" s="142"/>
      <c r="BK225" s="32">
        <f>Y225*BE225</f>
        <v>0</v>
      </c>
      <c r="BL225" s="25">
        <v>40</v>
      </c>
      <c r="BM225" s="25">
        <v>40</v>
      </c>
      <c r="BN225" s="25">
        <v>40</v>
      </c>
      <c r="BO225" s="25">
        <v>40</v>
      </c>
      <c r="BP225" s="25">
        <f>BE225*AV225</f>
        <v>0</v>
      </c>
      <c r="BQ225" s="25">
        <f>BE225*AX225</f>
        <v>0</v>
      </c>
      <c r="BR225" s="26"/>
      <c r="BS225" s="32"/>
    </row>
    <row r="226" spans="1:71" s="6" customFormat="1" ht="41.25" customHeight="1">
      <c r="A226" s="18">
        <v>223</v>
      </c>
      <c r="B226" s="18" t="s">
        <v>58</v>
      </c>
      <c r="C226" s="33" t="s">
        <v>59</v>
      </c>
      <c r="D226" s="34" t="s">
        <v>60</v>
      </c>
      <c r="E226" s="20" t="s">
        <v>266</v>
      </c>
      <c r="F226" s="34" t="s">
        <v>62</v>
      </c>
      <c r="G226" s="22" t="s">
        <v>52</v>
      </c>
      <c r="H226" s="22"/>
      <c r="I226" s="22"/>
      <c r="J226" s="22"/>
      <c r="K226" s="22"/>
      <c r="L226" s="20" t="s">
        <v>53</v>
      </c>
      <c r="M226" s="22"/>
      <c r="N226" s="22" t="s">
        <v>310</v>
      </c>
      <c r="O226" s="23" t="s">
        <v>311</v>
      </c>
      <c r="P226" s="18" t="s">
        <v>65</v>
      </c>
      <c r="Q226" s="72"/>
      <c r="R226" s="72"/>
      <c r="S226" s="35">
        <v>8</v>
      </c>
      <c r="T226" s="26"/>
      <c r="U226" s="26"/>
      <c r="V226" s="35">
        <v>8</v>
      </c>
      <c r="W226" s="154"/>
      <c r="X226" s="35">
        <v>8</v>
      </c>
      <c r="Y226" s="26">
        <f>T226+R226+Q226+U226+W226</f>
        <v>0</v>
      </c>
      <c r="Z226" s="27">
        <v>56</v>
      </c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>
        <f>SUM(AM226:AS226)</f>
        <v>0</v>
      </c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72">
        <f>Y226-AV226-AX226-AW226</f>
        <v>0</v>
      </c>
      <c r="AZ226" s="68"/>
      <c r="BA226" s="26">
        <f>AL226+AG226+AA226+AT226</f>
        <v>0</v>
      </c>
      <c r="BB226" s="30">
        <f>BD226+AO226+AG226</f>
        <v>0</v>
      </c>
      <c r="BC226" s="30">
        <f>BD226+AS226</f>
        <v>0</v>
      </c>
      <c r="BD226" s="30">
        <f>IF(BA226&gt;0,Y226-BA226,BA226)</f>
        <v>0</v>
      </c>
      <c r="BE226" s="31">
        <v>57</v>
      </c>
      <c r="BF226" s="30" t="s">
        <v>57</v>
      </c>
      <c r="BG226" s="31">
        <f>BE226*Q226</f>
        <v>0</v>
      </c>
      <c r="BH226" s="31">
        <f>BE226*R226*0.4</f>
        <v>0</v>
      </c>
      <c r="BI226" s="31"/>
      <c r="BJ226" s="31"/>
      <c r="BK226" s="32">
        <f>Y226*BE226</f>
        <v>0</v>
      </c>
      <c r="BL226" s="35">
        <v>8</v>
      </c>
      <c r="BM226" s="35">
        <v>8</v>
      </c>
      <c r="BN226" s="35">
        <v>8</v>
      </c>
      <c r="BO226" s="35">
        <v>8</v>
      </c>
      <c r="BP226" s="25">
        <f>BE226*AV226</f>
        <v>0</v>
      </c>
      <c r="BQ226" s="25">
        <f>BE226*AX226</f>
        <v>0</v>
      </c>
      <c r="BR226" s="26"/>
      <c r="BS226" s="32"/>
    </row>
    <row r="227" spans="1:71" s="6" customFormat="1" ht="41.25" customHeight="1">
      <c r="A227" s="18">
        <v>224</v>
      </c>
      <c r="B227" s="18" t="s">
        <v>58</v>
      </c>
      <c r="C227" s="33" t="s">
        <v>59</v>
      </c>
      <c r="D227" s="34" t="s">
        <v>60</v>
      </c>
      <c r="E227" s="20" t="s">
        <v>312</v>
      </c>
      <c r="F227" s="34" t="s">
        <v>62</v>
      </c>
      <c r="G227" s="22" t="s">
        <v>52</v>
      </c>
      <c r="H227" s="22"/>
      <c r="I227" s="22"/>
      <c r="J227" s="22"/>
      <c r="K227" s="22"/>
      <c r="L227" s="20" t="s">
        <v>53</v>
      </c>
      <c r="M227" s="22"/>
      <c r="N227" s="22" t="s">
        <v>313</v>
      </c>
      <c r="O227" s="23" t="s">
        <v>314</v>
      </c>
      <c r="P227" s="18" t="s">
        <v>65</v>
      </c>
      <c r="Q227" s="72"/>
      <c r="R227" s="72"/>
      <c r="S227" s="35">
        <v>15</v>
      </c>
      <c r="T227" s="26"/>
      <c r="U227" s="26"/>
      <c r="V227" s="35">
        <v>15</v>
      </c>
      <c r="W227" s="154"/>
      <c r="X227" s="35">
        <v>15</v>
      </c>
      <c r="Y227" s="26">
        <f>T227+R227+Q227+U227+W227</f>
        <v>0</v>
      </c>
      <c r="Z227" s="27">
        <v>105</v>
      </c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>
        <f>SUM(AM227:AS227)</f>
        <v>0</v>
      </c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72">
        <f>Y227-AV227-AX227-AW227</f>
        <v>0</v>
      </c>
      <c r="AZ227" s="68"/>
      <c r="BA227" s="26">
        <f>AL227+AG227+AA227+AT227</f>
        <v>0</v>
      </c>
      <c r="BB227" s="30">
        <f>BD227+AO227+AG227</f>
        <v>0</v>
      </c>
      <c r="BC227" s="30">
        <f>BD227+AS227</f>
        <v>0</v>
      </c>
      <c r="BD227" s="30">
        <f>IF(BA227&gt;0,Y227-BA227,BA227)</f>
        <v>0</v>
      </c>
      <c r="BE227" s="31">
        <v>56</v>
      </c>
      <c r="BF227" s="30" t="s">
        <v>57</v>
      </c>
      <c r="BG227" s="31">
        <f>BE227*Q227</f>
        <v>0</v>
      </c>
      <c r="BH227" s="31">
        <f>BE227*R227*0.4</f>
        <v>0</v>
      </c>
      <c r="BI227" s="142"/>
      <c r="BJ227" s="142"/>
      <c r="BK227" s="32">
        <f>Y227*BE227</f>
        <v>0</v>
      </c>
      <c r="BL227" s="35">
        <v>15</v>
      </c>
      <c r="BM227" s="35">
        <v>15</v>
      </c>
      <c r="BN227" s="35">
        <v>15</v>
      </c>
      <c r="BO227" s="35">
        <v>15</v>
      </c>
      <c r="BP227" s="25">
        <f>BE227*AV227</f>
        <v>0</v>
      </c>
      <c r="BQ227" s="25">
        <f>BE227*AX227</f>
        <v>0</v>
      </c>
      <c r="BR227" s="26"/>
      <c r="BS227" s="32"/>
    </row>
    <row r="228" spans="1:71" s="6" customFormat="1" ht="41.25" customHeight="1">
      <c r="A228" s="18">
        <v>225</v>
      </c>
      <c r="B228" s="18" t="s">
        <v>94</v>
      </c>
      <c r="C228" s="18" t="s">
        <v>209</v>
      </c>
      <c r="D228" s="18" t="s">
        <v>96</v>
      </c>
      <c r="E228" s="22" t="s">
        <v>210</v>
      </c>
      <c r="F228" s="18" t="s">
        <v>209</v>
      </c>
      <c r="G228" s="18" t="s">
        <v>52</v>
      </c>
      <c r="H228" s="22"/>
      <c r="I228" s="22"/>
      <c r="J228" s="22">
        <v>220</v>
      </c>
      <c r="K228" s="22" t="s">
        <v>199</v>
      </c>
      <c r="L228" s="22"/>
      <c r="M228" s="22"/>
      <c r="N228" s="22" t="s">
        <v>315</v>
      </c>
      <c r="O228" s="23" t="s">
        <v>316</v>
      </c>
      <c r="P228" s="18" t="s">
        <v>56</v>
      </c>
      <c r="Q228" s="26"/>
      <c r="R228" s="26"/>
      <c r="S228" s="25"/>
      <c r="T228" s="26"/>
      <c r="U228" s="26"/>
      <c r="V228" s="25"/>
      <c r="W228" s="25"/>
      <c r="X228" s="25"/>
      <c r="Y228" s="53">
        <f>T228+R228+Q228+U228+W228</f>
        <v>0</v>
      </c>
      <c r="Z228" s="27">
        <v>200</v>
      </c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>
        <f>SUM(AM228:AS228)</f>
        <v>0</v>
      </c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72">
        <f>Y228-AV228-AX228-AW228</f>
        <v>0</v>
      </c>
      <c r="AZ228" s="68"/>
      <c r="BA228" s="26">
        <f>AL228+AG228+AA228+AT228</f>
        <v>0</v>
      </c>
      <c r="BB228" s="30">
        <f>BD228+AO228+AG228</f>
        <v>0</v>
      </c>
      <c r="BC228" s="30">
        <f>BD228+AS228</f>
        <v>0</v>
      </c>
      <c r="BD228" s="30">
        <f>IF(BA228&gt;0,Y228-BA228,BA228)</f>
        <v>0</v>
      </c>
      <c r="BE228" s="31">
        <v>5</v>
      </c>
      <c r="BF228" s="30" t="s">
        <v>57</v>
      </c>
      <c r="BG228" s="31">
        <f>BE228*Q228</f>
        <v>0</v>
      </c>
      <c r="BH228" s="31">
        <f>BE228*R228*0.4</f>
        <v>0</v>
      </c>
      <c r="BI228" s="142"/>
      <c r="BJ228" s="142"/>
      <c r="BK228" s="32">
        <f>Y228*BE228</f>
        <v>0</v>
      </c>
      <c r="BL228" s="25">
        <v>200</v>
      </c>
      <c r="BM228" s="25"/>
      <c r="BN228" s="25"/>
      <c r="BO228" s="25"/>
      <c r="BP228" s="25">
        <f>BE228*AV228</f>
        <v>0</v>
      </c>
      <c r="BQ228" s="25">
        <f>BE228*AX228</f>
        <v>0</v>
      </c>
      <c r="BR228" s="26"/>
      <c r="BS228" s="32"/>
    </row>
    <row r="229" spans="1:71" s="6" customFormat="1" ht="41.25" customHeight="1">
      <c r="A229" s="18">
        <v>226</v>
      </c>
      <c r="B229" s="18" t="s">
        <v>94</v>
      </c>
      <c r="C229" s="66" t="s">
        <v>158</v>
      </c>
      <c r="D229" s="18" t="s">
        <v>96</v>
      </c>
      <c r="E229" s="20" t="s">
        <v>159</v>
      </c>
      <c r="F229" s="52" t="s">
        <v>123</v>
      </c>
      <c r="G229" s="52" t="s">
        <v>52</v>
      </c>
      <c r="H229" s="50"/>
      <c r="I229" s="50"/>
      <c r="J229" s="22"/>
      <c r="K229" s="22"/>
      <c r="L229" s="20" t="s">
        <v>53</v>
      </c>
      <c r="M229" s="22"/>
      <c r="N229" s="22" t="s">
        <v>315</v>
      </c>
      <c r="O229" s="23" t="s">
        <v>316</v>
      </c>
      <c r="P229" s="18" t="s">
        <v>56</v>
      </c>
      <c r="Q229" s="26"/>
      <c r="R229" s="26"/>
      <c r="S229" s="25"/>
      <c r="T229" s="26"/>
      <c r="U229" s="26"/>
      <c r="V229" s="25"/>
      <c r="W229" s="29">
        <v>200</v>
      </c>
      <c r="X229" s="25"/>
      <c r="Y229" s="53">
        <f>T229+R229+Q229+U229+W229</f>
        <v>200</v>
      </c>
      <c r="Z229" s="27">
        <v>200</v>
      </c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>
        <f>SUM(AM229:AS229)</f>
        <v>0</v>
      </c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9">
        <f>Y229-AV229-AX229-AW229</f>
        <v>200</v>
      </c>
      <c r="AZ229" s="29">
        <f ca="1">'Layout for shadhous 1&amp;2'!C64</f>
        <v>60</v>
      </c>
      <c r="BA229" s="26">
        <f>AL229+AG229+AA229+AT229</f>
        <v>0</v>
      </c>
      <c r="BB229" s="30">
        <f>BD229+AO229+AG229</f>
        <v>0</v>
      </c>
      <c r="BC229" s="30">
        <f>BD229+AS229</f>
        <v>0</v>
      </c>
      <c r="BD229" s="30">
        <f>IF(BA229&gt;0,Y229-BA229,BA229)</f>
        <v>0</v>
      </c>
      <c r="BE229" s="31">
        <v>11</v>
      </c>
      <c r="BF229" s="30" t="s">
        <v>57</v>
      </c>
      <c r="BG229" s="31">
        <f>BE229*Q229</f>
        <v>0</v>
      </c>
      <c r="BH229" s="31">
        <f>BE229*R229*0.4</f>
        <v>0</v>
      </c>
      <c r="BI229" s="142"/>
      <c r="BJ229" s="142"/>
      <c r="BK229" s="32">
        <f>Y229*BE229</f>
        <v>2200</v>
      </c>
      <c r="BL229" s="25"/>
      <c r="BM229" s="25">
        <v>200</v>
      </c>
      <c r="BN229" s="25"/>
      <c r="BO229" s="25"/>
      <c r="BP229" s="25">
        <f>BE229*AV229</f>
        <v>0</v>
      </c>
      <c r="BQ229" s="25">
        <f>BE229*AX229</f>
        <v>0</v>
      </c>
      <c r="BR229" s="26">
        <v>113</v>
      </c>
      <c r="BS229" s="32"/>
    </row>
    <row r="230" spans="1:71" s="6" customFormat="1" ht="41.25" customHeight="1">
      <c r="A230" s="18">
        <v>227</v>
      </c>
      <c r="B230" s="18" t="s">
        <v>94</v>
      </c>
      <c r="C230" s="18" t="s">
        <v>200</v>
      </c>
      <c r="D230" s="18" t="s">
        <v>96</v>
      </c>
      <c r="E230" s="22" t="s">
        <v>264</v>
      </c>
      <c r="F230" s="48" t="s">
        <v>98</v>
      </c>
      <c r="G230" s="48" t="s">
        <v>239</v>
      </c>
      <c r="H230" s="22"/>
      <c r="I230" s="22"/>
      <c r="J230" s="22">
        <v>200</v>
      </c>
      <c r="K230" s="22" t="s">
        <v>725</v>
      </c>
      <c r="L230" s="22"/>
      <c r="M230" s="22"/>
      <c r="N230" s="22" t="s">
        <v>317</v>
      </c>
      <c r="O230" s="23"/>
      <c r="P230" s="18" t="s">
        <v>56</v>
      </c>
      <c r="Q230" s="26"/>
      <c r="R230" s="59"/>
      <c r="S230" s="25">
        <v>40</v>
      </c>
      <c r="T230" s="26"/>
      <c r="U230" s="26"/>
      <c r="V230" s="25">
        <v>40</v>
      </c>
      <c r="W230" s="26"/>
      <c r="X230" s="25">
        <v>40</v>
      </c>
      <c r="Y230" s="26">
        <f>T230+R230+Q230+U230+W230</f>
        <v>0</v>
      </c>
      <c r="Z230" s="27">
        <v>280</v>
      </c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>
        <f>SUM(AM230:AS230)</f>
        <v>0</v>
      </c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72">
        <f>Y230-AV230-AX230-AW230</f>
        <v>0</v>
      </c>
      <c r="AZ230" s="68"/>
      <c r="BA230" s="26">
        <f>AL230+AG230+AA230+AT230</f>
        <v>0</v>
      </c>
      <c r="BB230" s="30">
        <f>BD230+AO230+AG230</f>
        <v>0</v>
      </c>
      <c r="BC230" s="30">
        <f>BD230+AS230</f>
        <v>0</v>
      </c>
      <c r="BD230" s="30">
        <f>IF(BA230&gt;0,Y230-BA230,BA230)</f>
        <v>0</v>
      </c>
      <c r="BE230" s="31">
        <v>24</v>
      </c>
      <c r="BF230" s="30" t="s">
        <v>57</v>
      </c>
      <c r="BG230" s="31">
        <f>BE230*Q230</f>
        <v>0</v>
      </c>
      <c r="BH230" s="31">
        <f>BE230*R230*0.4</f>
        <v>0</v>
      </c>
      <c r="BI230" s="142"/>
      <c r="BJ230" s="142"/>
      <c r="BK230" s="32">
        <f>Y230*BE230</f>
        <v>0</v>
      </c>
      <c r="BL230" s="25">
        <v>40</v>
      </c>
      <c r="BM230" s="25">
        <v>40</v>
      </c>
      <c r="BN230" s="25">
        <v>40</v>
      </c>
      <c r="BO230" s="25">
        <v>40</v>
      </c>
      <c r="BP230" s="25">
        <f>BE230*AV230</f>
        <v>0</v>
      </c>
      <c r="BQ230" s="25">
        <f>BE230*AX230</f>
        <v>0</v>
      </c>
      <c r="BR230" s="26"/>
      <c r="BS230" s="32"/>
    </row>
    <row r="231" spans="1:71" s="6" customFormat="1" ht="41.25" customHeight="1">
      <c r="A231" s="18">
        <v>228</v>
      </c>
      <c r="B231" s="18" t="s">
        <v>94</v>
      </c>
      <c r="C231" s="18" t="s">
        <v>200</v>
      </c>
      <c r="D231" s="18" t="s">
        <v>96</v>
      </c>
      <c r="E231" s="22" t="s">
        <v>318</v>
      </c>
      <c r="F231" s="48" t="s">
        <v>98</v>
      </c>
      <c r="G231" s="48" t="s">
        <v>239</v>
      </c>
      <c r="H231" s="22"/>
      <c r="I231" s="22"/>
      <c r="J231" s="22">
        <v>120</v>
      </c>
      <c r="K231" s="22" t="s">
        <v>298</v>
      </c>
      <c r="L231" s="22"/>
      <c r="M231" s="22"/>
      <c r="N231" s="22" t="s">
        <v>319</v>
      </c>
      <c r="O231" s="23"/>
      <c r="P231" s="18" t="s">
        <v>56</v>
      </c>
      <c r="Q231" s="29">
        <v>40</v>
      </c>
      <c r="R231" s="59"/>
      <c r="S231" s="25">
        <v>40</v>
      </c>
      <c r="T231" s="26"/>
      <c r="U231" s="26"/>
      <c r="V231" s="25">
        <v>40</v>
      </c>
      <c r="W231" s="26"/>
      <c r="X231" s="25">
        <v>40</v>
      </c>
      <c r="Y231" s="53">
        <f>T231+R231+Q231+U231+W231</f>
        <v>40</v>
      </c>
      <c r="Z231" s="27">
        <v>280</v>
      </c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>
        <f>SUM(AM231:AS231)</f>
        <v>0</v>
      </c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9">
        <f>Y231-AV231-AX231-AW231</f>
        <v>40</v>
      </c>
      <c r="AZ231" s="29">
        <f>'Layout for trees right'!M14</f>
        <v>40</v>
      </c>
      <c r="BA231" s="26">
        <f>AL231+AG231+AA231+AT231</f>
        <v>0</v>
      </c>
      <c r="BB231" s="30">
        <f>BD231+AO231+AG231</f>
        <v>0</v>
      </c>
      <c r="BC231" s="30">
        <f>BD231+AS231</f>
        <v>0</v>
      </c>
      <c r="BD231" s="30">
        <f>IF(BA231&gt;0,Y231-BA231,BA231)</f>
        <v>0</v>
      </c>
      <c r="BE231" s="31">
        <v>57</v>
      </c>
      <c r="BF231" s="30" t="s">
        <v>57</v>
      </c>
      <c r="BG231" s="31">
        <f>BE231*Q231</f>
        <v>2280</v>
      </c>
      <c r="BH231" s="31">
        <f>BE231*R231*0.4</f>
        <v>0</v>
      </c>
      <c r="BI231" s="142"/>
      <c r="BJ231" s="142"/>
      <c r="BK231" s="32">
        <f>Y231*BE231</f>
        <v>2280</v>
      </c>
      <c r="BL231" s="25">
        <v>40</v>
      </c>
      <c r="BM231" s="25">
        <v>40</v>
      </c>
      <c r="BN231" s="25">
        <v>40</v>
      </c>
      <c r="BO231" s="25">
        <v>40</v>
      </c>
      <c r="BP231" s="25">
        <f>BE231*AV231</f>
        <v>0</v>
      </c>
      <c r="BQ231" s="25">
        <f>BE231*AX231</f>
        <v>0</v>
      </c>
      <c r="BR231" s="26"/>
      <c r="BS231" s="32"/>
    </row>
    <row r="232" spans="1:71" s="6" customFormat="1" ht="41.25" customHeight="1">
      <c r="A232" s="18">
        <v>229</v>
      </c>
      <c r="B232" s="18" t="s">
        <v>94</v>
      </c>
      <c r="C232" s="18" t="s">
        <v>121</v>
      </c>
      <c r="D232" s="18" t="s">
        <v>96</v>
      </c>
      <c r="E232" s="22" t="s">
        <v>308</v>
      </c>
      <c r="F232" s="52" t="s">
        <v>123</v>
      </c>
      <c r="G232" s="48" t="s">
        <v>239</v>
      </c>
      <c r="H232" s="22"/>
      <c r="I232" s="22"/>
      <c r="J232" s="22"/>
      <c r="K232" s="22"/>
      <c r="L232" s="22"/>
      <c r="M232" s="22"/>
      <c r="N232" s="22" t="s">
        <v>320</v>
      </c>
      <c r="O232" s="23"/>
      <c r="P232" s="18" t="s">
        <v>56</v>
      </c>
      <c r="Q232" s="29">
        <v>40</v>
      </c>
      <c r="R232" s="59"/>
      <c r="S232" s="25">
        <v>40</v>
      </c>
      <c r="T232" s="63">
        <v>24</v>
      </c>
      <c r="U232" s="26"/>
      <c r="V232" s="25">
        <v>40</v>
      </c>
      <c r="W232" s="26"/>
      <c r="X232" s="25">
        <v>40</v>
      </c>
      <c r="Y232" s="53">
        <f>T232+R232+Q232+U232+W232</f>
        <v>64</v>
      </c>
      <c r="Z232" s="27">
        <v>280</v>
      </c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>
        <f>SUM(AM232:AS232)</f>
        <v>0</v>
      </c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9">
        <f>Y232-AV232-AX232-AW232</f>
        <v>64</v>
      </c>
      <c r="AZ232" s="29">
        <f>'Layout for trees right'!E13</f>
        <v>64</v>
      </c>
      <c r="BA232" s="26">
        <f>AL232+AG232+AA232+AT232</f>
        <v>0</v>
      </c>
      <c r="BB232" s="30">
        <f>BD232+AO232+AG232</f>
        <v>0</v>
      </c>
      <c r="BC232" s="30">
        <f>BD232+AS232</f>
        <v>0</v>
      </c>
      <c r="BD232" s="30">
        <f>IF(BA232&gt;0,Y232-BA232,BA232)</f>
        <v>0</v>
      </c>
      <c r="BE232" s="31">
        <v>8</v>
      </c>
      <c r="BF232" s="30" t="s">
        <v>57</v>
      </c>
      <c r="BG232" s="31">
        <f>BE232*Q232</f>
        <v>320</v>
      </c>
      <c r="BH232" s="31">
        <f>BE232*R232*0.4</f>
        <v>0</v>
      </c>
      <c r="BI232" s="142"/>
      <c r="BJ232" s="142"/>
      <c r="BK232" s="32">
        <f>Y232*BE232</f>
        <v>512</v>
      </c>
      <c r="BL232" s="25">
        <v>40</v>
      </c>
      <c r="BM232" s="25">
        <v>40</v>
      </c>
      <c r="BN232" s="25">
        <v>40</v>
      </c>
      <c r="BO232" s="25">
        <v>40</v>
      </c>
      <c r="BP232" s="25">
        <f>BE232*AV232</f>
        <v>0</v>
      </c>
      <c r="BQ232" s="25">
        <f>BE232*AX232</f>
        <v>0</v>
      </c>
      <c r="BR232" s="26"/>
      <c r="BS232" s="32"/>
    </row>
    <row r="233" spans="1:71" s="6" customFormat="1" ht="41.25" customHeight="1">
      <c r="A233" s="18">
        <v>230</v>
      </c>
      <c r="B233" s="18" t="s">
        <v>191</v>
      </c>
      <c r="C233" s="18" t="s">
        <v>192</v>
      </c>
      <c r="D233" s="21" t="s">
        <v>50</v>
      </c>
      <c r="E233" s="20" t="s">
        <v>255</v>
      </c>
      <c r="F233" s="52" t="s">
        <v>123</v>
      </c>
      <c r="G233" s="48" t="s">
        <v>239</v>
      </c>
      <c r="H233" s="22">
        <v>200</v>
      </c>
      <c r="I233" s="22">
        <v>1000</v>
      </c>
      <c r="J233" s="22"/>
      <c r="K233" s="22"/>
      <c r="L233" s="20" t="s">
        <v>53</v>
      </c>
      <c r="M233" s="22"/>
      <c r="N233" s="22" t="s">
        <v>321</v>
      </c>
      <c r="O233" s="23" t="s">
        <v>322</v>
      </c>
      <c r="P233" s="38" t="s">
        <v>56</v>
      </c>
      <c r="Q233" s="29">
        <v>22</v>
      </c>
      <c r="R233" s="59"/>
      <c r="S233" s="40">
        <v>100</v>
      </c>
      <c r="T233" s="26"/>
      <c r="U233" s="26"/>
      <c r="V233" s="25">
        <v>100</v>
      </c>
      <c r="W233" s="26"/>
      <c r="X233" s="25">
        <v>60</v>
      </c>
      <c r="Y233" s="29">
        <f>T233+R233+Q233+U233+W233</f>
        <v>22</v>
      </c>
      <c r="Z233" s="27">
        <v>500</v>
      </c>
      <c r="AA233" s="26"/>
      <c r="AB233" s="26"/>
      <c r="AC233" s="26"/>
      <c r="AD233" s="26"/>
      <c r="AE233" s="26"/>
      <c r="AF233" s="26"/>
      <c r="AG233" s="57">
        <f>SUBTOTAL(9,AH233:AK233)</f>
        <v>24</v>
      </c>
      <c r="AH233" s="26"/>
      <c r="AI233" s="26"/>
      <c r="AJ233" s="26"/>
      <c r="AK233" s="57">
        <v>24</v>
      </c>
      <c r="AL233" s="26">
        <f>SUM(AM233:AS233)</f>
        <v>0</v>
      </c>
      <c r="AM233" s="26"/>
      <c r="AN233" s="26"/>
      <c r="AO233" s="26"/>
      <c r="AP233" s="26"/>
      <c r="AQ233" s="26"/>
      <c r="AR233" s="26"/>
      <c r="AS233" s="26"/>
      <c r="AT233" s="28"/>
      <c r="AU233" s="28"/>
      <c r="AV233" s="26"/>
      <c r="AW233" s="26"/>
      <c r="AX233" s="28"/>
      <c r="AY233" s="29">
        <f>Y233-AV233-AX233-AW233</f>
        <v>22</v>
      </c>
      <c r="AZ233" s="29">
        <f>'Layout for trees right'!AG13</f>
        <v>16</v>
      </c>
      <c r="BA233" s="26">
        <f>AL233+AG233+AA233+AT233</f>
        <v>24</v>
      </c>
      <c r="BB233" s="30">
        <f>BD233+AO233+AG233</f>
        <v>22</v>
      </c>
      <c r="BC233" s="30">
        <f>BD233+AS233</f>
        <v>-2</v>
      </c>
      <c r="BD233" s="30">
        <f>IF(BA233&gt;0,Y233-BA233,BA233)</f>
        <v>-2</v>
      </c>
      <c r="BE233" s="31">
        <v>11</v>
      </c>
      <c r="BF233" s="30" t="s">
        <v>57</v>
      </c>
      <c r="BG233" s="31">
        <f>BE233*Q233</f>
        <v>242</v>
      </c>
      <c r="BH233" s="31">
        <f>BE233*R233*0.4</f>
        <v>0</v>
      </c>
      <c r="BI233" s="31"/>
      <c r="BJ233" s="31"/>
      <c r="BK233" s="32">
        <f>Y233*BE233</f>
        <v>242</v>
      </c>
      <c r="BL233" s="25">
        <v>60</v>
      </c>
      <c r="BM233" s="25">
        <v>60</v>
      </c>
      <c r="BN233" s="25">
        <v>60</v>
      </c>
      <c r="BO233" s="25">
        <v>60</v>
      </c>
      <c r="BP233" s="25">
        <f>BE233*AV233</f>
        <v>0</v>
      </c>
      <c r="BQ233" s="25">
        <f>BE233*AX233</f>
        <v>0</v>
      </c>
      <c r="BR233" s="26"/>
      <c r="BS233" s="32"/>
    </row>
    <row r="234" spans="1:71" s="6" customFormat="1" ht="41.25" customHeight="1">
      <c r="A234" s="18">
        <v>231</v>
      </c>
      <c r="B234" s="18" t="s">
        <v>94</v>
      </c>
      <c r="C234" s="18" t="s">
        <v>200</v>
      </c>
      <c r="D234" s="18" t="s">
        <v>96</v>
      </c>
      <c r="E234" s="22" t="s">
        <v>318</v>
      </c>
      <c r="F234" s="48" t="s">
        <v>98</v>
      </c>
      <c r="G234" s="48" t="s">
        <v>239</v>
      </c>
      <c r="H234" s="22"/>
      <c r="I234" s="22"/>
      <c r="J234" s="22"/>
      <c r="K234" s="22"/>
      <c r="L234" s="22"/>
      <c r="M234" s="22"/>
      <c r="N234" s="22" t="s">
        <v>323</v>
      </c>
      <c r="O234" s="23"/>
      <c r="P234" s="18" t="s">
        <v>56</v>
      </c>
      <c r="Q234" s="29">
        <v>28</v>
      </c>
      <c r="R234" s="59"/>
      <c r="S234" s="25">
        <v>40</v>
      </c>
      <c r="T234" s="26"/>
      <c r="U234" s="26"/>
      <c r="V234" s="25">
        <v>40</v>
      </c>
      <c r="W234" s="26"/>
      <c r="X234" s="25">
        <v>40</v>
      </c>
      <c r="Y234" s="53">
        <f>T234+R234+Q234+U234+W234</f>
        <v>28</v>
      </c>
      <c r="Z234" s="27">
        <v>280</v>
      </c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>
        <f>SUM(AM234:AS234)</f>
        <v>0</v>
      </c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9">
        <f>Y234-AV234-AX234-AW234</f>
        <v>28</v>
      </c>
      <c r="AZ234" s="29">
        <f>'Layout for trees right'!I14</f>
        <v>28</v>
      </c>
      <c r="BA234" s="26">
        <f>AL234+AG234+AA234+AT234</f>
        <v>0</v>
      </c>
      <c r="BB234" s="30">
        <f>BD234+AO234+AG234</f>
        <v>0</v>
      </c>
      <c r="BC234" s="30">
        <f>BD234+AS234</f>
        <v>0</v>
      </c>
      <c r="BD234" s="30">
        <f>IF(BA234&gt;0,Y234-BA234,BA234)</f>
        <v>0</v>
      </c>
      <c r="BE234" s="31">
        <v>57</v>
      </c>
      <c r="BF234" s="30" t="s">
        <v>57</v>
      </c>
      <c r="BG234" s="31">
        <f>BE234*Q234</f>
        <v>1596</v>
      </c>
      <c r="BH234" s="31">
        <f>BE234*R234*0.4</f>
        <v>0</v>
      </c>
      <c r="BI234" s="142"/>
      <c r="BJ234" s="142"/>
      <c r="BK234" s="32">
        <f>Y234*BE234</f>
        <v>1596</v>
      </c>
      <c r="BL234" s="25">
        <v>40</v>
      </c>
      <c r="BM234" s="25">
        <v>40</v>
      </c>
      <c r="BN234" s="25">
        <v>40</v>
      </c>
      <c r="BO234" s="25">
        <v>40</v>
      </c>
      <c r="BP234" s="25">
        <f>BE234*AV234</f>
        <v>0</v>
      </c>
      <c r="BQ234" s="25">
        <f>BE234*AX234</f>
        <v>0</v>
      </c>
      <c r="BR234" s="26"/>
      <c r="BS234" s="32"/>
    </row>
    <row r="235" spans="1:71" s="6" customFormat="1" ht="41.25" customHeight="1">
      <c r="A235" s="18">
        <v>232</v>
      </c>
      <c r="B235" s="18" t="s">
        <v>94</v>
      </c>
      <c r="C235" s="18" t="s">
        <v>200</v>
      </c>
      <c r="D235" s="18" t="s">
        <v>96</v>
      </c>
      <c r="E235" s="22" t="s">
        <v>324</v>
      </c>
      <c r="F235" s="48" t="s">
        <v>98</v>
      </c>
      <c r="G235" s="48" t="s">
        <v>239</v>
      </c>
      <c r="H235" s="22"/>
      <c r="I235" s="22"/>
      <c r="J235" s="22">
        <v>250</v>
      </c>
      <c r="K235" s="22" t="s">
        <v>743</v>
      </c>
      <c r="L235" s="22"/>
      <c r="M235" s="22"/>
      <c r="N235" s="22" t="s">
        <v>325</v>
      </c>
      <c r="O235" s="23"/>
      <c r="P235" s="38" t="s">
        <v>56</v>
      </c>
      <c r="Q235" s="59"/>
      <c r="R235" s="59"/>
      <c r="S235" s="40">
        <v>40</v>
      </c>
      <c r="T235" s="26"/>
      <c r="U235" s="26"/>
      <c r="V235" s="25">
        <v>40</v>
      </c>
      <c r="W235" s="26"/>
      <c r="X235" s="25">
        <v>40</v>
      </c>
      <c r="Y235" s="26">
        <f>T235+R235+Q235+U235+W235</f>
        <v>0</v>
      </c>
      <c r="Z235" s="27">
        <v>280</v>
      </c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>
        <f>SUM(AM235:AS235)</f>
        <v>0</v>
      </c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72">
        <f>Y235-AV235-AX235-AW235</f>
        <v>0</v>
      </c>
      <c r="AZ235" s="68"/>
      <c r="BA235" s="26">
        <f>AL235+AG235+AA235+AT235</f>
        <v>0</v>
      </c>
      <c r="BB235" s="30">
        <f>BD235+AO235+AG235</f>
        <v>0</v>
      </c>
      <c r="BC235" s="30">
        <f>BD235+AS235</f>
        <v>0</v>
      </c>
      <c r="BD235" s="30">
        <f>IF(BA235&gt;0,Y235-BA235,BA235)</f>
        <v>0</v>
      </c>
      <c r="BE235" s="31">
        <v>8</v>
      </c>
      <c r="BF235" s="30" t="s">
        <v>57</v>
      </c>
      <c r="BG235" s="31">
        <f>BE235*Q235</f>
        <v>0</v>
      </c>
      <c r="BH235" s="31">
        <f>BE235*R235*0.4</f>
        <v>0</v>
      </c>
      <c r="BI235" s="142"/>
      <c r="BJ235" s="142"/>
      <c r="BK235" s="32">
        <f>Y235*BE235</f>
        <v>0</v>
      </c>
      <c r="BL235" s="25">
        <v>40</v>
      </c>
      <c r="BM235" s="25">
        <v>40</v>
      </c>
      <c r="BN235" s="25">
        <v>40</v>
      </c>
      <c r="BO235" s="25">
        <v>40</v>
      </c>
      <c r="BP235" s="25">
        <f>BE235*AV235</f>
        <v>0</v>
      </c>
      <c r="BQ235" s="25">
        <f>BE235*AX235</f>
        <v>0</v>
      </c>
      <c r="BR235" s="26"/>
      <c r="BS235" s="32"/>
    </row>
    <row r="236" spans="1:71" s="6" customFormat="1" ht="41.25" customHeight="1">
      <c r="A236" s="18">
        <v>233</v>
      </c>
      <c r="B236" s="18" t="s">
        <v>94</v>
      </c>
      <c r="C236" s="18" t="s">
        <v>121</v>
      </c>
      <c r="D236" s="18" t="s">
        <v>96</v>
      </c>
      <c r="E236" s="22" t="s">
        <v>326</v>
      </c>
      <c r="F236" s="52" t="s">
        <v>123</v>
      </c>
      <c r="G236" s="48" t="s">
        <v>239</v>
      </c>
      <c r="H236" s="22"/>
      <c r="I236" s="22"/>
      <c r="J236" s="22">
        <v>200</v>
      </c>
      <c r="K236" s="22" t="s">
        <v>292</v>
      </c>
      <c r="L236" s="22"/>
      <c r="M236" s="22"/>
      <c r="N236" s="22" t="s">
        <v>327</v>
      </c>
      <c r="O236" s="23"/>
      <c r="P236" s="18" t="s">
        <v>56</v>
      </c>
      <c r="Q236" s="29">
        <v>12</v>
      </c>
      <c r="R236" s="59"/>
      <c r="S236" s="25">
        <v>40</v>
      </c>
      <c r="T236" s="26"/>
      <c r="U236" s="26"/>
      <c r="V236" s="25">
        <v>40</v>
      </c>
      <c r="W236" s="26"/>
      <c r="X236" s="25">
        <v>40</v>
      </c>
      <c r="Y236" s="53">
        <f>T236+R236+Q236+U236+W236</f>
        <v>12</v>
      </c>
      <c r="Z236" s="27">
        <v>280</v>
      </c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>
        <f>SUM(AM236:AS236)</f>
        <v>0</v>
      </c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9">
        <f>Y236-AV236-AX236-AW236</f>
        <v>12</v>
      </c>
      <c r="AZ236" s="29">
        <f>'Layout for trees right'!AC13</f>
        <v>12</v>
      </c>
      <c r="BA236" s="26">
        <f>AL236+AG236+AA236+AT236</f>
        <v>0</v>
      </c>
      <c r="BB236" s="30">
        <f>BD236+AO236+AG236</f>
        <v>0</v>
      </c>
      <c r="BC236" s="30">
        <f>BD236+AS236</f>
        <v>0</v>
      </c>
      <c r="BD236" s="30">
        <f>IF(BA236&gt;0,Y236-BA236,BA236)</f>
        <v>0</v>
      </c>
      <c r="BE236" s="31">
        <v>8</v>
      </c>
      <c r="BF236" s="30" t="s">
        <v>57</v>
      </c>
      <c r="BG236" s="31">
        <f>BE236*Q236</f>
        <v>96</v>
      </c>
      <c r="BH236" s="31">
        <f>BE236*R236*0.4</f>
        <v>0</v>
      </c>
      <c r="BI236" s="142"/>
      <c r="BJ236" s="142"/>
      <c r="BK236" s="32">
        <f>Y236*BE236</f>
        <v>96</v>
      </c>
      <c r="BL236" s="25">
        <v>40</v>
      </c>
      <c r="BM236" s="25">
        <v>40</v>
      </c>
      <c r="BN236" s="25">
        <v>40</v>
      </c>
      <c r="BO236" s="25">
        <v>40</v>
      </c>
      <c r="BP236" s="25">
        <f>BE236*AV236</f>
        <v>0</v>
      </c>
      <c r="BQ236" s="25">
        <f>BE236*AX236</f>
        <v>0</v>
      </c>
      <c r="BR236" s="26"/>
      <c r="BS236" s="32"/>
    </row>
    <row r="237" spans="1:71" s="6" customFormat="1" ht="41.25" customHeight="1">
      <c r="A237" s="18">
        <v>234</v>
      </c>
      <c r="B237" s="18" t="s">
        <v>94</v>
      </c>
      <c r="C237" s="18" t="s">
        <v>121</v>
      </c>
      <c r="D237" s="18" t="s">
        <v>96</v>
      </c>
      <c r="E237" s="22" t="s">
        <v>326</v>
      </c>
      <c r="F237" s="52" t="s">
        <v>123</v>
      </c>
      <c r="G237" s="48" t="s">
        <v>239</v>
      </c>
      <c r="H237" s="22"/>
      <c r="I237" s="22"/>
      <c r="J237" s="22">
        <v>140</v>
      </c>
      <c r="K237" s="22" t="s">
        <v>199</v>
      </c>
      <c r="L237" s="22"/>
      <c r="M237" s="22"/>
      <c r="N237" s="22" t="s">
        <v>328</v>
      </c>
      <c r="O237" s="23"/>
      <c r="P237" s="18" t="s">
        <v>56</v>
      </c>
      <c r="Q237" s="29">
        <v>40</v>
      </c>
      <c r="R237" s="59"/>
      <c r="S237" s="25">
        <v>40</v>
      </c>
      <c r="T237" s="63">
        <v>8</v>
      </c>
      <c r="U237" s="26"/>
      <c r="V237" s="25">
        <v>40</v>
      </c>
      <c r="W237" s="26"/>
      <c r="X237" s="25">
        <v>40</v>
      </c>
      <c r="Y237" s="53">
        <f>T237+R237+Q237+U237+W237</f>
        <v>48</v>
      </c>
      <c r="Z237" s="27">
        <v>280</v>
      </c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>
        <f>SUM(AM237:AS237)</f>
        <v>0</v>
      </c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9">
        <f>Y237-AV237-AX237-AW237</f>
        <v>48</v>
      </c>
      <c r="AZ237" s="29">
        <f>'Layout for trees right'!AK13</f>
        <v>48</v>
      </c>
      <c r="BA237" s="26">
        <f>AL237+AG237+AA237+AT237</f>
        <v>0</v>
      </c>
      <c r="BB237" s="30">
        <f>BD237+AO237+AG237</f>
        <v>0</v>
      </c>
      <c r="BC237" s="30">
        <f>BD237+AS237</f>
        <v>0</v>
      </c>
      <c r="BD237" s="30">
        <f>IF(BA237&gt;0,Y237-BA237,BA237)</f>
        <v>0</v>
      </c>
      <c r="BE237" s="31">
        <v>8</v>
      </c>
      <c r="BF237" s="30" t="s">
        <v>57</v>
      </c>
      <c r="BG237" s="31">
        <f>BE237*Q237</f>
        <v>320</v>
      </c>
      <c r="BH237" s="31">
        <f>BE237*R237*0.4</f>
        <v>0</v>
      </c>
      <c r="BI237" s="142"/>
      <c r="BJ237" s="142"/>
      <c r="BK237" s="32">
        <f>Y237*BE237</f>
        <v>384</v>
      </c>
      <c r="BL237" s="25">
        <v>40</v>
      </c>
      <c r="BM237" s="25">
        <v>40</v>
      </c>
      <c r="BN237" s="25">
        <v>40</v>
      </c>
      <c r="BO237" s="25">
        <v>40</v>
      </c>
      <c r="BP237" s="25">
        <f>BE237*AV237</f>
        <v>0</v>
      </c>
      <c r="BQ237" s="25">
        <f>BE237*AX237</f>
        <v>0</v>
      </c>
      <c r="BR237" s="26"/>
      <c r="BS237" s="32"/>
    </row>
    <row r="238" spans="1:71" s="6" customFormat="1" ht="41.25" customHeight="1">
      <c r="A238" s="18">
        <v>235</v>
      </c>
      <c r="B238" s="18" t="s">
        <v>94</v>
      </c>
      <c r="C238" s="18" t="s">
        <v>121</v>
      </c>
      <c r="D238" s="18" t="s">
        <v>96</v>
      </c>
      <c r="E238" s="22" t="s">
        <v>329</v>
      </c>
      <c r="F238" s="52" t="s">
        <v>123</v>
      </c>
      <c r="G238" s="48" t="s">
        <v>239</v>
      </c>
      <c r="H238" s="22"/>
      <c r="I238" s="22"/>
      <c r="J238" s="22"/>
      <c r="K238" s="22"/>
      <c r="L238" s="22"/>
      <c r="M238" s="22"/>
      <c r="N238" s="22" t="s">
        <v>330</v>
      </c>
      <c r="O238" s="23"/>
      <c r="P238" s="18" t="s">
        <v>56</v>
      </c>
      <c r="Q238" s="29">
        <v>28</v>
      </c>
      <c r="R238" s="59"/>
      <c r="S238" s="25">
        <v>40</v>
      </c>
      <c r="T238" s="26"/>
      <c r="U238" s="26"/>
      <c r="V238" s="25">
        <v>40</v>
      </c>
      <c r="W238" s="26"/>
      <c r="X238" s="25">
        <v>40</v>
      </c>
      <c r="Y238" s="53">
        <f>T238+R238+Q238+U238+W238</f>
        <v>28</v>
      </c>
      <c r="Z238" s="27">
        <v>280</v>
      </c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>
        <f>SUM(AM238:AS238)</f>
        <v>0</v>
      </c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9">
        <f>Y238-AV238-AX238-AW238</f>
        <v>28</v>
      </c>
      <c r="AZ238" s="29">
        <f>'Layout for trees right'!Y13</f>
        <v>28</v>
      </c>
      <c r="BA238" s="26">
        <f>AL238+AG238+AA238+AT238</f>
        <v>0</v>
      </c>
      <c r="BB238" s="30">
        <f>BD238+AO238+AG238</f>
        <v>0</v>
      </c>
      <c r="BC238" s="30">
        <f>BD238+AS238</f>
        <v>0</v>
      </c>
      <c r="BD238" s="30">
        <f>IF(BA238&gt;0,Y238-BA238,BA238)</f>
        <v>0</v>
      </c>
      <c r="BE238" s="31">
        <v>8</v>
      </c>
      <c r="BF238" s="30" t="s">
        <v>57</v>
      </c>
      <c r="BG238" s="31">
        <f>BE238*Q238</f>
        <v>224</v>
      </c>
      <c r="BH238" s="31">
        <f>BE238*R238*0.4</f>
        <v>0</v>
      </c>
      <c r="BI238" s="31"/>
      <c r="BJ238" s="31"/>
      <c r="BK238" s="32">
        <f>Y238*BE238</f>
        <v>224</v>
      </c>
      <c r="BL238" s="25">
        <v>40</v>
      </c>
      <c r="BM238" s="25">
        <v>40</v>
      </c>
      <c r="BN238" s="25">
        <v>40</v>
      </c>
      <c r="BO238" s="25">
        <v>40</v>
      </c>
      <c r="BP238" s="25">
        <f>BE238*AV238</f>
        <v>0</v>
      </c>
      <c r="BQ238" s="25">
        <f>BE238*AX238</f>
        <v>0</v>
      </c>
      <c r="BR238" s="26"/>
      <c r="BS238" s="32"/>
    </row>
    <row r="239" spans="1:71" s="6" customFormat="1" ht="41.25" customHeight="1">
      <c r="A239" s="18">
        <v>236</v>
      </c>
      <c r="B239" s="18" t="s">
        <v>94</v>
      </c>
      <c r="C239" s="18" t="s">
        <v>121</v>
      </c>
      <c r="D239" s="18" t="s">
        <v>96</v>
      </c>
      <c r="E239" s="22" t="s">
        <v>329</v>
      </c>
      <c r="F239" s="52" t="s">
        <v>123</v>
      </c>
      <c r="G239" s="48" t="s">
        <v>239</v>
      </c>
      <c r="H239" s="22"/>
      <c r="I239" s="22"/>
      <c r="J239" s="22">
        <v>320</v>
      </c>
      <c r="K239" s="22" t="s">
        <v>199</v>
      </c>
      <c r="L239" s="22"/>
      <c r="M239" s="22"/>
      <c r="N239" s="22" t="s">
        <v>331</v>
      </c>
      <c r="O239" s="23"/>
      <c r="P239" s="18" t="s">
        <v>56</v>
      </c>
      <c r="Q239" s="29">
        <v>36</v>
      </c>
      <c r="R239" s="59"/>
      <c r="S239" s="25">
        <v>40</v>
      </c>
      <c r="T239" s="26"/>
      <c r="U239" s="26"/>
      <c r="V239" s="25">
        <v>40</v>
      </c>
      <c r="W239" s="26"/>
      <c r="X239" s="25">
        <v>40</v>
      </c>
      <c r="Y239" s="53">
        <f>T239+R239+Q239+U239+W239</f>
        <v>36</v>
      </c>
      <c r="Z239" s="27">
        <v>280</v>
      </c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>
        <f>SUM(AM239:AS239)</f>
        <v>0</v>
      </c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9">
        <f>Y239-AV239-AX239-AW239</f>
        <v>36</v>
      </c>
      <c r="AZ239" s="29">
        <f>'Layout for trees right'!A13</f>
        <v>36</v>
      </c>
      <c r="BA239" s="26">
        <f>AL239+AG239+AA239+AT239</f>
        <v>0</v>
      </c>
      <c r="BB239" s="30">
        <f>BD239+AO239+AG239</f>
        <v>0</v>
      </c>
      <c r="BC239" s="30">
        <f>BD239+AS239</f>
        <v>0</v>
      </c>
      <c r="BD239" s="30">
        <f>IF(BA239&gt;0,Y239-BA239,BA239)</f>
        <v>0</v>
      </c>
      <c r="BE239" s="31">
        <v>8</v>
      </c>
      <c r="BF239" s="30" t="s">
        <v>57</v>
      </c>
      <c r="BG239" s="31">
        <f>BE239*Q239</f>
        <v>288</v>
      </c>
      <c r="BH239" s="31">
        <f>BE239*R239*0.4</f>
        <v>0</v>
      </c>
      <c r="BI239" s="142"/>
      <c r="BJ239" s="142"/>
      <c r="BK239" s="32">
        <f>Y239*BE239</f>
        <v>288</v>
      </c>
      <c r="BL239" s="25">
        <v>40</v>
      </c>
      <c r="BM239" s="25">
        <v>40</v>
      </c>
      <c r="BN239" s="25">
        <v>40</v>
      </c>
      <c r="BO239" s="25">
        <v>40</v>
      </c>
      <c r="BP239" s="25">
        <f>BE239*AV239</f>
        <v>0</v>
      </c>
      <c r="BQ239" s="25">
        <f>BE239*AX239</f>
        <v>0</v>
      </c>
      <c r="BR239" s="26"/>
      <c r="BS239" s="32"/>
    </row>
    <row r="240" spans="1:71" s="6" customFormat="1" ht="41.25" customHeight="1">
      <c r="A240" s="18">
        <v>237</v>
      </c>
      <c r="B240" s="18" t="s">
        <v>94</v>
      </c>
      <c r="C240" s="18" t="s">
        <v>200</v>
      </c>
      <c r="D240" s="18" t="s">
        <v>96</v>
      </c>
      <c r="E240" s="22" t="s">
        <v>324</v>
      </c>
      <c r="F240" s="48" t="s">
        <v>98</v>
      </c>
      <c r="G240" s="48" t="s">
        <v>239</v>
      </c>
      <c r="H240" s="22"/>
      <c r="I240" s="22"/>
      <c r="J240" s="22"/>
      <c r="K240" s="22"/>
      <c r="L240" s="22"/>
      <c r="M240" s="22"/>
      <c r="N240" s="22" t="s">
        <v>332</v>
      </c>
      <c r="O240" s="23"/>
      <c r="P240" s="18" t="s">
        <v>56</v>
      </c>
      <c r="Q240" s="29">
        <v>36</v>
      </c>
      <c r="R240" s="59"/>
      <c r="S240" s="25">
        <v>40</v>
      </c>
      <c r="T240" s="26"/>
      <c r="U240" s="26"/>
      <c r="V240" s="25">
        <v>40</v>
      </c>
      <c r="W240" s="26"/>
      <c r="X240" s="25">
        <v>40</v>
      </c>
      <c r="Y240" s="53">
        <f>T240+R240+Q240+U240+W240</f>
        <v>36</v>
      </c>
      <c r="Z240" s="27">
        <v>280</v>
      </c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>
        <f>SUM(AM240:AS240)</f>
        <v>0</v>
      </c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9">
        <f>Y240-AV240-AX240-AW240</f>
        <v>36</v>
      </c>
      <c r="AZ240" s="29">
        <f>'Layout for trees right'!U13</f>
        <v>36</v>
      </c>
      <c r="BA240" s="26">
        <f>AL240+AG240+AA240+AT240</f>
        <v>0</v>
      </c>
      <c r="BB240" s="30">
        <f>BD240+AO240+AG240</f>
        <v>0</v>
      </c>
      <c r="BC240" s="30">
        <f>BD240+AS240</f>
        <v>0</v>
      </c>
      <c r="BD240" s="30">
        <f>IF(BA240&gt;0,Y240-BA240,BA240)</f>
        <v>0</v>
      </c>
      <c r="BE240" s="31">
        <v>57</v>
      </c>
      <c r="BF240" s="30" t="s">
        <v>57</v>
      </c>
      <c r="BG240" s="31">
        <f>BE240*Q240</f>
        <v>2052</v>
      </c>
      <c r="BH240" s="31">
        <f>BE240*R240*0.4</f>
        <v>0</v>
      </c>
      <c r="BI240" s="142"/>
      <c r="BJ240" s="142"/>
      <c r="BK240" s="32">
        <f>Y240*BE240</f>
        <v>2052</v>
      </c>
      <c r="BL240" s="25">
        <v>40</v>
      </c>
      <c r="BM240" s="25">
        <v>40</v>
      </c>
      <c r="BN240" s="25">
        <v>40</v>
      </c>
      <c r="BO240" s="25">
        <v>40</v>
      </c>
      <c r="BP240" s="25">
        <f>BE240*AV240</f>
        <v>0</v>
      </c>
      <c r="BQ240" s="25">
        <f>BE240*AX240</f>
        <v>0</v>
      </c>
      <c r="BR240" s="26"/>
      <c r="BS240" s="32"/>
    </row>
    <row r="241" spans="1:71" s="6" customFormat="1" ht="41.25" customHeight="1">
      <c r="A241" s="18">
        <v>238</v>
      </c>
      <c r="B241" s="18" t="s">
        <v>94</v>
      </c>
      <c r="C241" s="18" t="s">
        <v>121</v>
      </c>
      <c r="D241" s="18" t="s">
        <v>96</v>
      </c>
      <c r="E241" s="22" t="s">
        <v>334</v>
      </c>
      <c r="F241" s="52" t="s">
        <v>123</v>
      </c>
      <c r="G241" s="48" t="s">
        <v>239</v>
      </c>
      <c r="H241" s="22"/>
      <c r="I241" s="22"/>
      <c r="J241" s="22"/>
      <c r="K241" s="22"/>
      <c r="L241" s="22"/>
      <c r="M241" s="22"/>
      <c r="N241" s="22" t="s">
        <v>335</v>
      </c>
      <c r="O241" s="23"/>
      <c r="P241" s="18" t="s">
        <v>56</v>
      </c>
      <c r="Q241" s="143">
        <v>40</v>
      </c>
      <c r="R241" s="59"/>
      <c r="S241" s="25">
        <v>40</v>
      </c>
      <c r="T241" s="143">
        <v>4</v>
      </c>
      <c r="U241" s="26"/>
      <c r="V241" s="25">
        <v>40</v>
      </c>
      <c r="W241" s="26"/>
      <c r="X241" s="25">
        <v>40</v>
      </c>
      <c r="Y241" s="53">
        <f>T241+R241+Q241+U241+W241</f>
        <v>44</v>
      </c>
      <c r="Z241" s="27">
        <v>280</v>
      </c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>
        <f>SUM(AM241:AS241)</f>
        <v>0</v>
      </c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9">
        <f>Y241-AV241-AX241-AW241</f>
        <v>44</v>
      </c>
      <c r="AZ241" s="29">
        <f>'Layout for trees right'!Q13</f>
        <v>44</v>
      </c>
      <c r="BA241" s="26">
        <f>AL241+AG241+AA241+AT241</f>
        <v>0</v>
      </c>
      <c r="BB241" s="30">
        <f>BD241+AO241+AG241</f>
        <v>0</v>
      </c>
      <c r="BC241" s="30">
        <f>BD241+AS241</f>
        <v>0</v>
      </c>
      <c r="BD241" s="30">
        <f>IF(BA241&gt;0,Y241-BA241,BA241)</f>
        <v>0</v>
      </c>
      <c r="BE241" s="31">
        <v>8</v>
      </c>
      <c r="BF241" s="30" t="s">
        <v>57</v>
      </c>
      <c r="BG241" s="31">
        <f>BE241*Q241</f>
        <v>320</v>
      </c>
      <c r="BH241" s="31">
        <f>BE241*R241*0.4</f>
        <v>0</v>
      </c>
      <c r="BI241" s="142"/>
      <c r="BJ241" s="142"/>
      <c r="BK241" s="32">
        <f>Y241*BE241</f>
        <v>352</v>
      </c>
      <c r="BL241" s="25">
        <v>40</v>
      </c>
      <c r="BM241" s="25">
        <v>40</v>
      </c>
      <c r="BN241" s="25">
        <v>40</v>
      </c>
      <c r="BO241" s="25">
        <v>40</v>
      </c>
      <c r="BP241" s="25">
        <f>BE241*AV241</f>
        <v>0</v>
      </c>
      <c r="BQ241" s="25">
        <f>BE241*AX241</f>
        <v>0</v>
      </c>
      <c r="BR241" s="26"/>
      <c r="BS241" s="32"/>
    </row>
    <row r="242" spans="1:71" s="6" customFormat="1" ht="41.25" customHeight="1">
      <c r="A242" s="18">
        <v>239</v>
      </c>
      <c r="B242" s="18" t="s">
        <v>58</v>
      </c>
      <c r="C242" s="33" t="s">
        <v>59</v>
      </c>
      <c r="D242" s="34" t="s">
        <v>60</v>
      </c>
      <c r="E242" s="20" t="s">
        <v>312</v>
      </c>
      <c r="F242" s="34" t="s">
        <v>62</v>
      </c>
      <c r="G242" s="21" t="s">
        <v>52</v>
      </c>
      <c r="H242" s="22"/>
      <c r="I242" s="22"/>
      <c r="J242" s="22"/>
      <c r="K242" s="22"/>
      <c r="L242" s="20" t="s">
        <v>53</v>
      </c>
      <c r="M242" s="22"/>
      <c r="N242" s="22" t="s">
        <v>339</v>
      </c>
      <c r="O242" s="23" t="s">
        <v>340</v>
      </c>
      <c r="P242" s="18" t="s">
        <v>65</v>
      </c>
      <c r="Q242" s="72"/>
      <c r="R242" s="72"/>
      <c r="S242" s="35">
        <v>12</v>
      </c>
      <c r="T242" s="26"/>
      <c r="U242" s="26"/>
      <c r="V242" s="35">
        <v>12</v>
      </c>
      <c r="W242" s="154"/>
      <c r="X242" s="35">
        <v>12</v>
      </c>
      <c r="Y242" s="26">
        <f>T242+R242+Q242+U242+W242</f>
        <v>0</v>
      </c>
      <c r="Z242" s="27">
        <v>84</v>
      </c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>
        <f>SUM(AM242:AS242)</f>
        <v>0</v>
      </c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72">
        <f>Y242-AV242-AX242-AW242</f>
        <v>0</v>
      </c>
      <c r="AZ242" s="68"/>
      <c r="BA242" s="26">
        <f>AL242+AG242+AA242+AT242</f>
        <v>0</v>
      </c>
      <c r="BB242" s="30">
        <f>BD242+AO242+AG242</f>
        <v>0</v>
      </c>
      <c r="BC242" s="30">
        <f>BD242+AS242</f>
        <v>0</v>
      </c>
      <c r="BD242" s="30">
        <f>IF(BA242&gt;0,Y242-BA242,BA242)</f>
        <v>0</v>
      </c>
      <c r="BE242" s="31">
        <v>56</v>
      </c>
      <c r="BF242" s="30" t="s">
        <v>57</v>
      </c>
      <c r="BG242" s="31">
        <f>BE242*Q242</f>
        <v>0</v>
      </c>
      <c r="BH242" s="31">
        <f>BE242*R242*0.4</f>
        <v>0</v>
      </c>
      <c r="BI242" s="142"/>
      <c r="BJ242" s="142"/>
      <c r="BK242" s="32">
        <f>Y242*BE242</f>
        <v>0</v>
      </c>
      <c r="BL242" s="35">
        <v>12</v>
      </c>
      <c r="BM242" s="35">
        <v>12</v>
      </c>
      <c r="BN242" s="35">
        <v>12</v>
      </c>
      <c r="BO242" s="35">
        <v>12</v>
      </c>
      <c r="BP242" s="25">
        <f>BE242*AV242</f>
        <v>0</v>
      </c>
      <c r="BQ242" s="25">
        <f>BE242*AX242</f>
        <v>0</v>
      </c>
      <c r="BR242" s="26"/>
      <c r="BS242" s="32"/>
    </row>
    <row r="243" spans="1:71" s="6" customFormat="1" ht="41.25" customHeight="1">
      <c r="A243" s="18">
        <v>240</v>
      </c>
      <c r="B243" s="18" t="s">
        <v>87</v>
      </c>
      <c r="C243" s="65" t="s">
        <v>125</v>
      </c>
      <c r="D243" s="47" t="s">
        <v>89</v>
      </c>
      <c r="E243" s="20" t="s">
        <v>343</v>
      </c>
      <c r="F243" s="21" t="s">
        <v>344</v>
      </c>
      <c r="G243" s="21" t="s">
        <v>52</v>
      </c>
      <c r="H243" s="22"/>
      <c r="I243" s="22" t="s">
        <v>345</v>
      </c>
      <c r="J243" s="22">
        <v>140</v>
      </c>
      <c r="K243" s="22" t="s">
        <v>196</v>
      </c>
      <c r="L243" s="20" t="s">
        <v>53</v>
      </c>
      <c r="M243" s="22"/>
      <c r="N243" s="22" t="s">
        <v>341</v>
      </c>
      <c r="O243" s="23" t="s">
        <v>342</v>
      </c>
      <c r="P243" s="18" t="s">
        <v>56</v>
      </c>
      <c r="Q243" s="72"/>
      <c r="R243" s="72"/>
      <c r="S243" s="25">
        <v>200</v>
      </c>
      <c r="T243" s="26"/>
      <c r="U243" s="26"/>
      <c r="V243" s="25"/>
      <c r="W243" s="26"/>
      <c r="X243" s="25"/>
      <c r="Y243" s="26">
        <f>T243+R243+Q243+U243+W243</f>
        <v>0</v>
      </c>
      <c r="Z243" s="27">
        <v>200</v>
      </c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>
        <f>SUM(AM243:AS243)</f>
        <v>0</v>
      </c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72">
        <f>Y243-AV243-AX243-AW243</f>
        <v>0</v>
      </c>
      <c r="AZ243" s="68"/>
      <c r="BA243" s="26">
        <f>AL243+AG243+AA243+AT243</f>
        <v>0</v>
      </c>
      <c r="BB243" s="30">
        <f>BD243+AO243+AG243</f>
        <v>0</v>
      </c>
      <c r="BC243" s="30">
        <f>BD243+AS243</f>
        <v>0</v>
      </c>
      <c r="BD243" s="30">
        <f>IF(BA243&gt;0,Y243-BA243,BA243)</f>
        <v>0</v>
      </c>
      <c r="BE243" s="31">
        <v>3.75</v>
      </c>
      <c r="BF243" s="30" t="s">
        <v>57</v>
      </c>
      <c r="BG243" s="31">
        <f>BE243*Q243</f>
        <v>0</v>
      </c>
      <c r="BH243" s="31">
        <f>BE243*R243*0.4</f>
        <v>0</v>
      </c>
      <c r="BI243" s="142"/>
      <c r="BJ243" s="142"/>
      <c r="BK243" s="32">
        <f>Y243*BE243</f>
        <v>0</v>
      </c>
      <c r="BL243" s="25"/>
      <c r="BM243" s="25"/>
      <c r="BN243" s="25"/>
      <c r="BO243" s="25"/>
      <c r="BP243" s="25">
        <f>BE243*AV243</f>
        <v>0</v>
      </c>
      <c r="BQ243" s="25">
        <f>BE243*AX243</f>
        <v>0</v>
      </c>
      <c r="BR243" s="26"/>
      <c r="BS243" s="32"/>
    </row>
    <row r="244" spans="1:71" s="6" customFormat="1" ht="41.25" customHeight="1">
      <c r="A244" s="18">
        <v>241</v>
      </c>
      <c r="B244" s="18" t="s">
        <v>58</v>
      </c>
      <c r="C244" s="33" t="s">
        <v>59</v>
      </c>
      <c r="D244" s="34" t="s">
        <v>60</v>
      </c>
      <c r="E244" s="20" t="s">
        <v>346</v>
      </c>
      <c r="F244" s="34" t="s">
        <v>62</v>
      </c>
      <c r="G244" s="21" t="s">
        <v>52</v>
      </c>
      <c r="H244" s="22"/>
      <c r="I244" s="22"/>
      <c r="J244" s="22">
        <v>140</v>
      </c>
      <c r="K244" s="22" t="s">
        <v>196</v>
      </c>
      <c r="L244" s="20" t="s">
        <v>53</v>
      </c>
      <c r="M244" s="22"/>
      <c r="N244" s="22" t="s">
        <v>347</v>
      </c>
      <c r="O244" s="23" t="s">
        <v>348</v>
      </c>
      <c r="P244" s="18" t="s">
        <v>65</v>
      </c>
      <c r="Q244" s="72"/>
      <c r="R244" s="72"/>
      <c r="S244" s="35">
        <v>12</v>
      </c>
      <c r="T244" s="26"/>
      <c r="U244" s="26"/>
      <c r="V244" s="35">
        <v>12</v>
      </c>
      <c r="W244" s="154"/>
      <c r="X244" s="35">
        <v>12</v>
      </c>
      <c r="Y244" s="26">
        <f>T244+R244+Q244+U244+W244</f>
        <v>0</v>
      </c>
      <c r="Z244" s="27">
        <v>84</v>
      </c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>
        <f>SUM(AM244:AS244)</f>
        <v>0</v>
      </c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72">
        <f>Y244-AV244-AX244-AW244</f>
        <v>0</v>
      </c>
      <c r="AZ244" s="68"/>
      <c r="BA244" s="26">
        <f>AL244+AG244+AA244+AT244</f>
        <v>0</v>
      </c>
      <c r="BB244" s="30">
        <f>BD244+AO244+AG244</f>
        <v>0</v>
      </c>
      <c r="BC244" s="30">
        <f>BD244+AS244</f>
        <v>0</v>
      </c>
      <c r="BD244" s="30">
        <f>IF(BA244&gt;0,Y244-BA244,BA244)</f>
        <v>0</v>
      </c>
      <c r="BE244" s="31">
        <v>75</v>
      </c>
      <c r="BF244" s="30" t="s">
        <v>57</v>
      </c>
      <c r="BG244" s="31">
        <f>BE244*Q244</f>
        <v>0</v>
      </c>
      <c r="BH244" s="31">
        <f>BE244*R244*0.4</f>
        <v>0</v>
      </c>
      <c r="BI244" s="142"/>
      <c r="BJ244" s="142"/>
      <c r="BK244" s="32">
        <f>Y244*BE244</f>
        <v>0</v>
      </c>
      <c r="BL244" s="35">
        <v>12</v>
      </c>
      <c r="BM244" s="35">
        <v>12</v>
      </c>
      <c r="BN244" s="35">
        <v>12</v>
      </c>
      <c r="BO244" s="35">
        <v>12</v>
      </c>
      <c r="BP244" s="25">
        <f>BE244*AV244</f>
        <v>0</v>
      </c>
      <c r="BQ244" s="25">
        <f>BE244*AX244</f>
        <v>0</v>
      </c>
      <c r="BR244" s="26"/>
      <c r="BS244" s="32"/>
    </row>
    <row r="245" spans="1:71" s="6" customFormat="1" ht="41.25" customHeight="1">
      <c r="A245" s="18">
        <v>242</v>
      </c>
      <c r="B245" s="18" t="s">
        <v>58</v>
      </c>
      <c r="C245" s="33" t="s">
        <v>59</v>
      </c>
      <c r="D245" s="34" t="s">
        <v>60</v>
      </c>
      <c r="E245" s="20" t="s">
        <v>349</v>
      </c>
      <c r="F245" s="34" t="s">
        <v>62</v>
      </c>
      <c r="G245" s="21" t="s">
        <v>52</v>
      </c>
      <c r="H245" s="22"/>
      <c r="I245" s="22"/>
      <c r="J245" s="22"/>
      <c r="K245" s="22"/>
      <c r="L245" s="20" t="s">
        <v>53</v>
      </c>
      <c r="M245" s="22"/>
      <c r="N245" s="22" t="s">
        <v>350</v>
      </c>
      <c r="O245" s="23" t="s">
        <v>351</v>
      </c>
      <c r="P245" s="18" t="s">
        <v>65</v>
      </c>
      <c r="Q245" s="72"/>
      <c r="R245" s="72"/>
      <c r="S245" s="35">
        <v>11</v>
      </c>
      <c r="T245" s="26"/>
      <c r="U245" s="26"/>
      <c r="V245" s="35">
        <v>11</v>
      </c>
      <c r="W245" s="154"/>
      <c r="X245" s="35">
        <v>11</v>
      </c>
      <c r="Y245" s="26">
        <f>T245+R245+Q245+U245+W245</f>
        <v>0</v>
      </c>
      <c r="Z245" s="27">
        <v>77</v>
      </c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>
        <f>SUM(AM245:AS245)</f>
        <v>0</v>
      </c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72">
        <f>Y245-AV245-AX245-AW245</f>
        <v>0</v>
      </c>
      <c r="AZ245" s="68"/>
      <c r="BA245" s="26">
        <f>AL245+AG245+AA245+AT245</f>
        <v>0</v>
      </c>
      <c r="BB245" s="30">
        <f>BD245+AO245+AG245</f>
        <v>0</v>
      </c>
      <c r="BC245" s="30">
        <f>BD245+AS245</f>
        <v>0</v>
      </c>
      <c r="BD245" s="30">
        <f>IF(BA245&gt;0,Y245-BA245,BA245)</f>
        <v>0</v>
      </c>
      <c r="BE245" s="31">
        <v>75</v>
      </c>
      <c r="BF245" s="30" t="s">
        <v>57</v>
      </c>
      <c r="BG245" s="31">
        <f>BE245*Q245</f>
        <v>0</v>
      </c>
      <c r="BH245" s="31">
        <f>BE245*R245*0.4</f>
        <v>0</v>
      </c>
      <c r="BI245" s="142"/>
      <c r="BJ245" s="142"/>
      <c r="BK245" s="32">
        <f>Y245*BE245</f>
        <v>0</v>
      </c>
      <c r="BL245" s="35">
        <v>11</v>
      </c>
      <c r="BM245" s="35">
        <v>11</v>
      </c>
      <c r="BN245" s="35">
        <v>11</v>
      </c>
      <c r="BO245" s="35">
        <v>11</v>
      </c>
      <c r="BP245" s="25">
        <f>BE245*AV245</f>
        <v>0</v>
      </c>
      <c r="BQ245" s="25">
        <f>BE245*AX245</f>
        <v>0</v>
      </c>
      <c r="BR245" s="26"/>
      <c r="BS245" s="32"/>
    </row>
    <row r="246" spans="1:71" s="6" customFormat="1" ht="41.25" customHeight="1">
      <c r="A246" s="18">
        <v>243</v>
      </c>
      <c r="B246" s="18" t="s">
        <v>58</v>
      </c>
      <c r="C246" s="33" t="s">
        <v>59</v>
      </c>
      <c r="D246" s="34" t="s">
        <v>60</v>
      </c>
      <c r="E246" s="20" t="s">
        <v>349</v>
      </c>
      <c r="F246" s="34" t="s">
        <v>62</v>
      </c>
      <c r="G246" s="21" t="s">
        <v>52</v>
      </c>
      <c r="H246" s="22"/>
      <c r="I246" s="22"/>
      <c r="J246" s="22">
        <v>300</v>
      </c>
      <c r="K246" s="22" t="s">
        <v>811</v>
      </c>
      <c r="L246" s="20" t="s">
        <v>53</v>
      </c>
      <c r="M246" s="22"/>
      <c r="N246" s="22" t="s">
        <v>352</v>
      </c>
      <c r="O246" s="23" t="s">
        <v>353</v>
      </c>
      <c r="P246" s="18" t="s">
        <v>65</v>
      </c>
      <c r="Q246" s="72"/>
      <c r="R246" s="72"/>
      <c r="S246" s="35">
        <v>18</v>
      </c>
      <c r="T246" s="26"/>
      <c r="U246" s="26"/>
      <c r="V246" s="35">
        <v>18</v>
      </c>
      <c r="W246" s="154"/>
      <c r="X246" s="35">
        <v>18</v>
      </c>
      <c r="Y246" s="26">
        <f>T246+R246+Q246+U246+W246</f>
        <v>0</v>
      </c>
      <c r="Z246" s="27">
        <v>126</v>
      </c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>
        <f>SUM(AM246:AS246)</f>
        <v>0</v>
      </c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72">
        <f>Y246-AV246-AX246-AW246</f>
        <v>0</v>
      </c>
      <c r="AZ246" s="68"/>
      <c r="BA246" s="26">
        <f>AL246+AG246+AA246+AT246</f>
        <v>0</v>
      </c>
      <c r="BB246" s="30">
        <f>BD246+AO246+AG246</f>
        <v>0</v>
      </c>
      <c r="BC246" s="30">
        <f>BD246+AS246</f>
        <v>0</v>
      </c>
      <c r="BD246" s="30">
        <f>IF(BA246&gt;0,Y246-BA246,BA246)</f>
        <v>0</v>
      </c>
      <c r="BE246" s="31">
        <v>75</v>
      </c>
      <c r="BF246" s="30" t="s">
        <v>57</v>
      </c>
      <c r="BG246" s="31">
        <f>BE246*Q246</f>
        <v>0</v>
      </c>
      <c r="BH246" s="31">
        <f>BE246*R246*0.4</f>
        <v>0</v>
      </c>
      <c r="BI246" s="142"/>
      <c r="BJ246" s="142"/>
      <c r="BK246" s="32">
        <f>Y246*BE246</f>
        <v>0</v>
      </c>
      <c r="BL246" s="35">
        <v>18</v>
      </c>
      <c r="BM246" s="35">
        <v>18</v>
      </c>
      <c r="BN246" s="35">
        <v>18</v>
      </c>
      <c r="BO246" s="35">
        <v>18</v>
      </c>
      <c r="BP246" s="25">
        <f>BE246*AV246</f>
        <v>0</v>
      </c>
      <c r="BQ246" s="25">
        <f>BE246*AX246</f>
        <v>0</v>
      </c>
      <c r="BR246" s="26"/>
      <c r="BS246" s="32"/>
    </row>
    <row r="247" spans="1:71" s="6" customFormat="1" ht="41.25" customHeight="1">
      <c r="A247" s="18">
        <v>244</v>
      </c>
      <c r="B247" s="18" t="s">
        <v>58</v>
      </c>
      <c r="C247" s="33" t="s">
        <v>59</v>
      </c>
      <c r="D247" s="34" t="s">
        <v>60</v>
      </c>
      <c r="E247" s="20" t="s">
        <v>346</v>
      </c>
      <c r="F247" s="34" t="s">
        <v>62</v>
      </c>
      <c r="G247" s="21" t="s">
        <v>52</v>
      </c>
      <c r="H247" s="22"/>
      <c r="I247" s="22"/>
      <c r="J247" s="22">
        <v>300</v>
      </c>
      <c r="K247" s="22" t="s">
        <v>377</v>
      </c>
      <c r="L247" s="20" t="s">
        <v>53</v>
      </c>
      <c r="M247" s="22"/>
      <c r="N247" s="22" t="s">
        <v>354</v>
      </c>
      <c r="O247" s="23"/>
      <c r="P247" s="18" t="s">
        <v>65</v>
      </c>
      <c r="Q247" s="72"/>
      <c r="R247" s="72"/>
      <c r="S247" s="35">
        <v>8</v>
      </c>
      <c r="T247" s="26"/>
      <c r="U247" s="26"/>
      <c r="V247" s="35">
        <v>8</v>
      </c>
      <c r="W247" s="154"/>
      <c r="X247" s="35">
        <v>8</v>
      </c>
      <c r="Y247" s="26">
        <f>T247+R247+Q247+U247+W247</f>
        <v>0</v>
      </c>
      <c r="Z247" s="27">
        <v>56</v>
      </c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>
        <f>SUM(AM247:AS247)</f>
        <v>0</v>
      </c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72">
        <f>Y247-AV247-AX247-AW247</f>
        <v>0</v>
      </c>
      <c r="AZ247" s="68"/>
      <c r="BA247" s="26">
        <f>AL247+AG247+AA247+AT247</f>
        <v>0</v>
      </c>
      <c r="BB247" s="30">
        <f>BD247+AO247+AG247</f>
        <v>0</v>
      </c>
      <c r="BC247" s="30">
        <f>BD247+AS247</f>
        <v>0</v>
      </c>
      <c r="BD247" s="30">
        <f>IF(BA247&gt;0,Y247-BA247,BA247)</f>
        <v>0</v>
      </c>
      <c r="BE247" s="31">
        <v>112</v>
      </c>
      <c r="BF247" s="30" t="s">
        <v>57</v>
      </c>
      <c r="BG247" s="31">
        <f>BE247*Q247</f>
        <v>0</v>
      </c>
      <c r="BH247" s="31">
        <f>BE247*R247*0.4</f>
        <v>0</v>
      </c>
      <c r="BI247" s="142"/>
      <c r="BJ247" s="142"/>
      <c r="BK247" s="32">
        <f>Y247*BE247</f>
        <v>0</v>
      </c>
      <c r="BL247" s="35">
        <v>8</v>
      </c>
      <c r="BM247" s="35">
        <v>8</v>
      </c>
      <c r="BN247" s="35">
        <v>8</v>
      </c>
      <c r="BO247" s="35">
        <v>8</v>
      </c>
      <c r="BP247" s="25">
        <f>BE247*AV247</f>
        <v>0</v>
      </c>
      <c r="BQ247" s="25">
        <f>BE247*AX247</f>
        <v>0</v>
      </c>
      <c r="BR247" s="26"/>
      <c r="BS247" s="32"/>
    </row>
    <row r="248" spans="1:71" s="6" customFormat="1" ht="41.25" customHeight="1">
      <c r="A248" s="18">
        <v>245</v>
      </c>
      <c r="B248" s="18" t="s">
        <v>58</v>
      </c>
      <c r="C248" s="33" t="s">
        <v>59</v>
      </c>
      <c r="D248" s="34" t="s">
        <v>60</v>
      </c>
      <c r="E248" s="20" t="s">
        <v>355</v>
      </c>
      <c r="F248" s="34" t="s">
        <v>62</v>
      </c>
      <c r="G248" s="21" t="s">
        <v>52</v>
      </c>
      <c r="H248" s="22"/>
      <c r="I248" s="22"/>
      <c r="J248" s="22"/>
      <c r="K248" s="22"/>
      <c r="L248" s="20" t="s">
        <v>53</v>
      </c>
      <c r="M248" s="22"/>
      <c r="N248" s="22" t="s">
        <v>356</v>
      </c>
      <c r="O248" s="23" t="s">
        <v>357</v>
      </c>
      <c r="P248" s="18" t="s">
        <v>65</v>
      </c>
      <c r="Q248" s="72"/>
      <c r="R248" s="72"/>
      <c r="S248" s="35">
        <v>5</v>
      </c>
      <c r="T248" s="26"/>
      <c r="U248" s="26"/>
      <c r="V248" s="35">
        <v>5</v>
      </c>
      <c r="W248" s="154"/>
      <c r="X248" s="35">
        <v>5</v>
      </c>
      <c r="Y248" s="26">
        <f>T248+R248+Q248+U248+W248</f>
        <v>0</v>
      </c>
      <c r="Z248" s="27">
        <v>35</v>
      </c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>
        <f>SUM(AM248:AS248)</f>
        <v>0</v>
      </c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72">
        <f>Y248-AV248-AX248-AW248</f>
        <v>0</v>
      </c>
      <c r="AZ248" s="68"/>
      <c r="BA248" s="26">
        <f>AL248+AG248+AA248+AT248</f>
        <v>0</v>
      </c>
      <c r="BB248" s="30">
        <f>BD248+AO248+AG248</f>
        <v>0</v>
      </c>
      <c r="BC248" s="30">
        <f>BD248+AS248</f>
        <v>0</v>
      </c>
      <c r="BD248" s="30">
        <f>IF(BA248&gt;0,Y248-BA248,BA248)</f>
        <v>0</v>
      </c>
      <c r="BE248" s="31">
        <v>75</v>
      </c>
      <c r="BF248" s="30" t="s">
        <v>57</v>
      </c>
      <c r="BG248" s="31">
        <f>BE248*Q248</f>
        <v>0</v>
      </c>
      <c r="BH248" s="31">
        <f>BE248*R248*0.4</f>
        <v>0</v>
      </c>
      <c r="BI248" s="142"/>
      <c r="BJ248" s="142"/>
      <c r="BK248" s="32">
        <f>Y248*BE248</f>
        <v>0</v>
      </c>
      <c r="BL248" s="35">
        <v>5</v>
      </c>
      <c r="BM248" s="35">
        <v>5</v>
      </c>
      <c r="BN248" s="35">
        <v>5</v>
      </c>
      <c r="BO248" s="35">
        <v>5</v>
      </c>
      <c r="BP248" s="25">
        <f>BE248*AV248</f>
        <v>0</v>
      </c>
      <c r="BQ248" s="25">
        <f>BE248*AX248</f>
        <v>0</v>
      </c>
      <c r="BR248" s="26"/>
      <c r="BS248" s="32"/>
    </row>
    <row r="249" spans="1:71" s="6" customFormat="1" ht="41.25" customHeight="1">
      <c r="A249" s="18">
        <v>246</v>
      </c>
      <c r="B249" s="18" t="s">
        <v>58</v>
      </c>
      <c r="C249" s="33" t="s">
        <v>59</v>
      </c>
      <c r="D249" s="34" t="s">
        <v>60</v>
      </c>
      <c r="E249" s="20" t="s">
        <v>355</v>
      </c>
      <c r="F249" s="34" t="s">
        <v>62</v>
      </c>
      <c r="G249" s="21" t="s">
        <v>52</v>
      </c>
      <c r="H249" s="22"/>
      <c r="I249" s="22"/>
      <c r="J249" s="22"/>
      <c r="K249" s="22"/>
      <c r="L249" s="20" t="s">
        <v>53</v>
      </c>
      <c r="M249" s="22"/>
      <c r="N249" s="22" t="s">
        <v>358</v>
      </c>
      <c r="O249" s="23" t="s">
        <v>359</v>
      </c>
      <c r="P249" s="18" t="s">
        <v>65</v>
      </c>
      <c r="Q249" s="72"/>
      <c r="R249" s="72"/>
      <c r="S249" s="35">
        <v>3</v>
      </c>
      <c r="T249" s="26"/>
      <c r="U249" s="26"/>
      <c r="V249" s="35">
        <v>3</v>
      </c>
      <c r="W249" s="154"/>
      <c r="X249" s="35">
        <v>3</v>
      </c>
      <c r="Y249" s="26">
        <f>T249+R249+Q249+U249+W249</f>
        <v>0</v>
      </c>
      <c r="Z249" s="27">
        <v>21</v>
      </c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>
        <f>SUM(AM249:AS249)</f>
        <v>0</v>
      </c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72">
        <f>Y249-AV249-AX249-AW249</f>
        <v>0</v>
      </c>
      <c r="AZ249" s="68"/>
      <c r="BA249" s="26">
        <f>AL249+AG249+AA249+AT249</f>
        <v>0</v>
      </c>
      <c r="BB249" s="30">
        <f>BD249+AO249+AG249</f>
        <v>0</v>
      </c>
      <c r="BC249" s="30">
        <f>BD249+AS249</f>
        <v>0</v>
      </c>
      <c r="BD249" s="30">
        <f>IF(BA249&gt;0,Y249-BA249,BA249)</f>
        <v>0</v>
      </c>
      <c r="BE249" s="31">
        <v>75</v>
      </c>
      <c r="BF249" s="30" t="s">
        <v>57</v>
      </c>
      <c r="BG249" s="31">
        <f>BE249*Q249</f>
        <v>0</v>
      </c>
      <c r="BH249" s="31">
        <f>BE249*R249*0.4</f>
        <v>0</v>
      </c>
      <c r="BI249" s="31"/>
      <c r="BJ249" s="31"/>
      <c r="BK249" s="32">
        <f>Y249*BE249</f>
        <v>0</v>
      </c>
      <c r="BL249" s="35">
        <v>3</v>
      </c>
      <c r="BM249" s="35">
        <v>3</v>
      </c>
      <c r="BN249" s="35">
        <v>3</v>
      </c>
      <c r="BO249" s="35">
        <v>3</v>
      </c>
      <c r="BP249" s="25">
        <f>BE249*AV249</f>
        <v>0</v>
      </c>
      <c r="BQ249" s="25">
        <f>BE249*AX249</f>
        <v>0</v>
      </c>
      <c r="BR249" s="26"/>
      <c r="BS249" s="32"/>
    </row>
    <row r="250" spans="1:71" s="6" customFormat="1" ht="41.25" customHeight="1">
      <c r="A250" s="18">
        <v>247</v>
      </c>
      <c r="B250" s="18" t="s">
        <v>87</v>
      </c>
      <c r="C250" s="18" t="s">
        <v>88</v>
      </c>
      <c r="D250" s="47" t="s">
        <v>89</v>
      </c>
      <c r="E250" s="22" t="s">
        <v>245</v>
      </c>
      <c r="F250" s="36" t="s">
        <v>70</v>
      </c>
      <c r="G250" s="36" t="s">
        <v>70</v>
      </c>
      <c r="H250" s="22"/>
      <c r="I250" s="37" t="s">
        <v>362</v>
      </c>
      <c r="J250" s="22">
        <v>140</v>
      </c>
      <c r="K250" s="22" t="s">
        <v>298</v>
      </c>
      <c r="L250" s="22"/>
      <c r="M250" s="22"/>
      <c r="N250" s="22" t="s">
        <v>363</v>
      </c>
      <c r="O250" s="23" t="s">
        <v>364</v>
      </c>
      <c r="P250" s="18" t="s">
        <v>56</v>
      </c>
      <c r="Q250" s="72"/>
      <c r="R250" s="72"/>
      <c r="S250" s="25">
        <v>5</v>
      </c>
      <c r="T250" s="26"/>
      <c r="U250" s="26"/>
      <c r="V250" s="25"/>
      <c r="W250" s="26"/>
      <c r="X250" s="25"/>
      <c r="Y250" s="26">
        <f>T250+R250+Q250+U250+W250</f>
        <v>0</v>
      </c>
      <c r="Z250" s="27">
        <v>5</v>
      </c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>
        <f>SUM(AM250:AS250)</f>
        <v>0</v>
      </c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72">
        <f>Y250-AV250-AX250-AW250</f>
        <v>0</v>
      </c>
      <c r="AZ250" s="68"/>
      <c r="BA250" s="26">
        <f>AL250+AG250+AA250+AT250</f>
        <v>0</v>
      </c>
      <c r="BB250" s="30">
        <f>BD250+AO250+AG250</f>
        <v>0</v>
      </c>
      <c r="BC250" s="30">
        <f>BD250+AS250</f>
        <v>0</v>
      </c>
      <c r="BD250" s="30">
        <f>IF(BA250&gt;0,Y250-BA250,BA250)</f>
        <v>0</v>
      </c>
      <c r="BE250" s="31">
        <v>690</v>
      </c>
      <c r="BF250" s="30" t="s">
        <v>57</v>
      </c>
      <c r="BG250" s="31">
        <f>BE250*Q250</f>
        <v>0</v>
      </c>
      <c r="BH250" s="31">
        <f>BE250*R250*0.4</f>
        <v>0</v>
      </c>
      <c r="BI250" s="142"/>
      <c r="BJ250" s="142"/>
      <c r="BK250" s="32">
        <f>Y250*BE250</f>
        <v>0</v>
      </c>
      <c r="BL250" s="25"/>
      <c r="BM250" s="25"/>
      <c r="BN250" s="25"/>
      <c r="BO250" s="25"/>
      <c r="BP250" s="25">
        <f>BE250*AV250</f>
        <v>0</v>
      </c>
      <c r="BQ250" s="25">
        <f>BE250*AX250</f>
        <v>0</v>
      </c>
      <c r="BR250" s="26"/>
      <c r="BS250" s="32"/>
    </row>
    <row r="251" spans="1:71" s="6" customFormat="1" ht="41.25" customHeight="1">
      <c r="A251" s="18">
        <v>248</v>
      </c>
      <c r="B251" s="18" t="s">
        <v>94</v>
      </c>
      <c r="C251" s="18" t="s">
        <v>166</v>
      </c>
      <c r="D251" s="18" t="s">
        <v>96</v>
      </c>
      <c r="E251" s="22" t="s">
        <v>167</v>
      </c>
      <c r="F251" s="48" t="s">
        <v>98</v>
      </c>
      <c r="G251" s="36" t="s">
        <v>70</v>
      </c>
      <c r="H251" s="22"/>
      <c r="I251" s="22"/>
      <c r="J251" s="22">
        <v>140</v>
      </c>
      <c r="K251" s="22" t="s">
        <v>298</v>
      </c>
      <c r="L251" s="22"/>
      <c r="M251" s="22"/>
      <c r="N251" s="22" t="s">
        <v>363</v>
      </c>
      <c r="O251" s="23" t="s">
        <v>365</v>
      </c>
      <c r="P251" s="38" t="s">
        <v>56</v>
      </c>
      <c r="Q251" s="72"/>
      <c r="R251" s="72"/>
      <c r="S251" s="40">
        <v>20</v>
      </c>
      <c r="T251" s="72"/>
      <c r="U251" s="24"/>
      <c r="V251" s="25">
        <v>20</v>
      </c>
      <c r="W251" s="26"/>
      <c r="X251" s="25">
        <v>120</v>
      </c>
      <c r="Y251" s="26">
        <f>T251+R251+Q251+U251+W251</f>
        <v>0</v>
      </c>
      <c r="Z251" s="27">
        <v>140</v>
      </c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>
        <f>SUM(AM251:AS251)</f>
        <v>0</v>
      </c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72">
        <f>Y251-AV251-AX251-AW251</f>
        <v>0</v>
      </c>
      <c r="AZ251" s="68"/>
      <c r="BA251" s="26">
        <f>AL251+AG251+AA251+AT251</f>
        <v>0</v>
      </c>
      <c r="BB251" s="30">
        <f>BD251+AO251+AG251</f>
        <v>0</v>
      </c>
      <c r="BC251" s="30">
        <f>BD251+AS251</f>
        <v>0</v>
      </c>
      <c r="BD251" s="30">
        <f>IF(BA251&gt;0,Y251-BA251,BA251)</f>
        <v>0</v>
      </c>
      <c r="BE251" s="31">
        <v>8</v>
      </c>
      <c r="BF251" s="30" t="s">
        <v>57</v>
      </c>
      <c r="BG251" s="31">
        <f>BE251*Q251</f>
        <v>0</v>
      </c>
      <c r="BH251" s="31">
        <f>BE251*R251*0.4</f>
        <v>0</v>
      </c>
      <c r="BI251" s="142"/>
      <c r="BJ251" s="142"/>
      <c r="BK251" s="32">
        <f>Y251*BE251</f>
        <v>0</v>
      </c>
      <c r="BL251" s="25">
        <v>120</v>
      </c>
      <c r="BM251" s="25">
        <v>120</v>
      </c>
      <c r="BN251" s="25">
        <v>120</v>
      </c>
      <c r="BO251" s="25">
        <v>120</v>
      </c>
      <c r="BP251" s="25">
        <f>BE251*AV251</f>
        <v>0</v>
      </c>
      <c r="BQ251" s="25">
        <f>BE251*AX251</f>
        <v>0</v>
      </c>
      <c r="BR251" s="26"/>
      <c r="BS251" s="32"/>
    </row>
    <row r="252" spans="1:71" s="6" customFormat="1" ht="41.25" customHeight="1">
      <c r="A252" s="18">
        <v>249</v>
      </c>
      <c r="B252" s="18" t="s">
        <v>94</v>
      </c>
      <c r="C252" s="18" t="s">
        <v>132</v>
      </c>
      <c r="D252" s="18" t="s">
        <v>96</v>
      </c>
      <c r="E252" s="22" t="s">
        <v>366</v>
      </c>
      <c r="F252" s="52" t="s">
        <v>123</v>
      </c>
      <c r="G252" s="52" t="s">
        <v>123</v>
      </c>
      <c r="H252" s="22"/>
      <c r="I252" s="22"/>
      <c r="J252" s="22"/>
      <c r="K252" s="22"/>
      <c r="L252" s="22"/>
      <c r="M252" s="22"/>
      <c r="N252" s="22" t="s">
        <v>367</v>
      </c>
      <c r="O252" s="23"/>
      <c r="P252" s="38" t="s">
        <v>56</v>
      </c>
      <c r="Q252" s="29">
        <v>60</v>
      </c>
      <c r="R252" s="72"/>
      <c r="S252" s="40">
        <v>60</v>
      </c>
      <c r="T252" s="63">
        <v>5</v>
      </c>
      <c r="U252" s="26"/>
      <c r="V252" s="25">
        <v>60</v>
      </c>
      <c r="W252" s="26"/>
      <c r="X252" s="25">
        <v>60</v>
      </c>
      <c r="Y252" s="53">
        <f>T252+R252+Q252+U252+W252</f>
        <v>65</v>
      </c>
      <c r="Z252" s="27">
        <v>420</v>
      </c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>
        <f>SUM(AM252:AS252)</f>
        <v>0</v>
      </c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9">
        <f>Y252-AV252-AX252-AW252</f>
        <v>65</v>
      </c>
      <c r="AZ252" s="29"/>
      <c r="BA252" s="26">
        <f>AL252+AG252+AA252+AT252</f>
        <v>0</v>
      </c>
      <c r="BB252" s="30">
        <f>BD252+AO252+AG252</f>
        <v>0</v>
      </c>
      <c r="BC252" s="30">
        <f>BD252+AS252</f>
        <v>0</v>
      </c>
      <c r="BD252" s="30">
        <f>IF(BA252&gt;0,Y252-BA252,BA252)</f>
        <v>0</v>
      </c>
      <c r="BE252" s="31">
        <v>5</v>
      </c>
      <c r="BF252" s="30" t="s">
        <v>57</v>
      </c>
      <c r="BG252" s="31">
        <f>BE252*Q252</f>
        <v>300</v>
      </c>
      <c r="BH252" s="31">
        <f>BE252*R252*0.4</f>
        <v>0</v>
      </c>
      <c r="BI252" s="142"/>
      <c r="BJ252" s="142"/>
      <c r="BK252" s="32">
        <f>Y252*BE252</f>
        <v>325</v>
      </c>
      <c r="BL252" s="25">
        <v>60</v>
      </c>
      <c r="BM252" s="25">
        <v>60</v>
      </c>
      <c r="BN252" s="25">
        <v>60</v>
      </c>
      <c r="BO252" s="25">
        <v>60</v>
      </c>
      <c r="BP252" s="25">
        <f>BE252*AV252</f>
        <v>0</v>
      </c>
      <c r="BQ252" s="25">
        <f>BE252*AX252</f>
        <v>0</v>
      </c>
      <c r="BR252" s="26"/>
      <c r="BS252" s="32"/>
    </row>
    <row r="253" spans="1:71" s="6" customFormat="1" ht="41.25" customHeight="1">
      <c r="A253" s="18">
        <v>250</v>
      </c>
      <c r="B253" s="18" t="s">
        <v>94</v>
      </c>
      <c r="C253" s="18" t="s">
        <v>132</v>
      </c>
      <c r="D253" s="18" t="s">
        <v>96</v>
      </c>
      <c r="E253" s="22" t="s">
        <v>366</v>
      </c>
      <c r="F253" s="52" t="s">
        <v>123</v>
      </c>
      <c r="G253" s="52" t="s">
        <v>123</v>
      </c>
      <c r="H253" s="22"/>
      <c r="I253" s="22"/>
      <c r="J253" s="22">
        <v>200</v>
      </c>
      <c r="K253" s="22" t="s">
        <v>199</v>
      </c>
      <c r="L253" s="22"/>
      <c r="M253" s="22"/>
      <c r="N253" s="22" t="s">
        <v>368</v>
      </c>
      <c r="O253" s="23"/>
      <c r="P253" s="38" t="s">
        <v>56</v>
      </c>
      <c r="Q253" s="29">
        <v>60</v>
      </c>
      <c r="R253" s="72"/>
      <c r="S253" s="40">
        <v>60</v>
      </c>
      <c r="T253" s="63">
        <v>5</v>
      </c>
      <c r="U253" s="26"/>
      <c r="V253" s="25">
        <v>60</v>
      </c>
      <c r="W253" s="26"/>
      <c r="X253" s="25">
        <v>60</v>
      </c>
      <c r="Y253" s="53">
        <f>T253+R253+Q253+U253+W253</f>
        <v>65</v>
      </c>
      <c r="Z253" s="27">
        <v>420</v>
      </c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>
        <f>SUM(AM253:AS253)</f>
        <v>0</v>
      </c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9">
        <f>Y253-AV253-AX253-AW253</f>
        <v>65</v>
      </c>
      <c r="AZ253" s="29"/>
      <c r="BA253" s="26">
        <f>AL253+AG253+AA253+AT253</f>
        <v>0</v>
      </c>
      <c r="BB253" s="30">
        <f>BD253+AO253+AG253</f>
        <v>0</v>
      </c>
      <c r="BC253" s="30">
        <f>BD253+AS253</f>
        <v>0</v>
      </c>
      <c r="BD253" s="30">
        <f>IF(BA253&gt;0,Y253-BA253,BA253)</f>
        <v>0</v>
      </c>
      <c r="BE253" s="31">
        <v>5</v>
      </c>
      <c r="BF253" s="30" t="s">
        <v>57</v>
      </c>
      <c r="BG253" s="31">
        <f>BE253*Q253</f>
        <v>300</v>
      </c>
      <c r="BH253" s="31">
        <f>BE253*R253*0.4</f>
        <v>0</v>
      </c>
      <c r="BI253" s="31"/>
      <c r="BJ253" s="31"/>
      <c r="BK253" s="32">
        <f>Y253*BE253</f>
        <v>325</v>
      </c>
      <c r="BL253" s="25">
        <v>60</v>
      </c>
      <c r="BM253" s="25">
        <v>60</v>
      </c>
      <c r="BN253" s="25">
        <v>60</v>
      </c>
      <c r="BO253" s="25">
        <v>60</v>
      </c>
      <c r="BP253" s="25">
        <f>BE253*AV253</f>
        <v>0</v>
      </c>
      <c r="BQ253" s="25">
        <f>BE253*AX253</f>
        <v>0</v>
      </c>
      <c r="BR253" s="26"/>
      <c r="BS253" s="32"/>
    </row>
    <row r="254" spans="1:71" s="6" customFormat="1" ht="41.25" customHeight="1">
      <c r="A254" s="18">
        <v>251</v>
      </c>
      <c r="B254" s="18" t="s">
        <v>94</v>
      </c>
      <c r="C254" s="18" t="s">
        <v>132</v>
      </c>
      <c r="D254" s="18" t="s">
        <v>96</v>
      </c>
      <c r="E254" s="20" t="s">
        <v>374</v>
      </c>
      <c r="F254" s="52" t="s">
        <v>123</v>
      </c>
      <c r="G254" s="52" t="s">
        <v>123</v>
      </c>
      <c r="H254" s="22"/>
      <c r="I254" s="22"/>
      <c r="J254" s="22"/>
      <c r="K254" s="22"/>
      <c r="L254" s="20" t="s">
        <v>53</v>
      </c>
      <c r="M254" s="22"/>
      <c r="N254" s="22" t="s">
        <v>375</v>
      </c>
      <c r="O254" s="23"/>
      <c r="P254" s="18" t="s">
        <v>56</v>
      </c>
      <c r="Q254" s="29">
        <v>60</v>
      </c>
      <c r="R254" s="72"/>
      <c r="S254" s="25">
        <v>60</v>
      </c>
      <c r="T254" s="26"/>
      <c r="U254" s="26"/>
      <c r="V254" s="25">
        <v>60</v>
      </c>
      <c r="W254" s="26"/>
      <c r="X254" s="25">
        <v>60</v>
      </c>
      <c r="Y254" s="53">
        <f>T254+R254+Q254+U254+W254</f>
        <v>60</v>
      </c>
      <c r="Z254" s="27">
        <v>420</v>
      </c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>
        <f>SUM(AM254:AS254)</f>
        <v>0</v>
      </c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9">
        <f>Y254-AV254-AX254-AW254</f>
        <v>60</v>
      </c>
      <c r="AZ254" s="29">
        <f>'Layout for trees right'!E27</f>
        <v>60</v>
      </c>
      <c r="BA254" s="26">
        <f>AL254+AG254+AA254+AT254</f>
        <v>0</v>
      </c>
      <c r="BB254" s="30">
        <f>BD254+AO254+AG254</f>
        <v>0</v>
      </c>
      <c r="BC254" s="30">
        <f>BD254+AS254</f>
        <v>0</v>
      </c>
      <c r="BD254" s="30">
        <f>IF(BA254&gt;0,Y254-BA254,BA254)</f>
        <v>0</v>
      </c>
      <c r="BE254" s="31">
        <v>5</v>
      </c>
      <c r="BF254" s="30" t="s">
        <v>57</v>
      </c>
      <c r="BG254" s="31">
        <f>BE254*Q254</f>
        <v>300</v>
      </c>
      <c r="BH254" s="31">
        <f>BE254*R254*0.4</f>
        <v>0</v>
      </c>
      <c r="BI254" s="142"/>
      <c r="BJ254" s="142"/>
      <c r="BK254" s="32">
        <f>Y254*BE254</f>
        <v>300</v>
      </c>
      <c r="BL254" s="25">
        <v>60</v>
      </c>
      <c r="BM254" s="25">
        <v>60</v>
      </c>
      <c r="BN254" s="25">
        <v>60</v>
      </c>
      <c r="BO254" s="25">
        <v>60</v>
      </c>
      <c r="BP254" s="25">
        <f>BE254*AV254</f>
        <v>0</v>
      </c>
      <c r="BQ254" s="25">
        <f>BE254*AX254</f>
        <v>0</v>
      </c>
      <c r="BR254" s="26"/>
      <c r="BS254" s="32"/>
    </row>
    <row r="255" spans="1:71" s="6" customFormat="1" ht="41.25" customHeight="1">
      <c r="A255" s="18">
        <v>252</v>
      </c>
      <c r="B255" s="51" t="s">
        <v>94</v>
      </c>
      <c r="C255" s="18" t="s">
        <v>132</v>
      </c>
      <c r="D255" s="18" t="s">
        <v>96</v>
      </c>
      <c r="E255" s="20" t="s">
        <v>374</v>
      </c>
      <c r="F255" s="52" t="s">
        <v>123</v>
      </c>
      <c r="G255" s="52" t="s">
        <v>123</v>
      </c>
      <c r="H255" s="22"/>
      <c r="I255" s="22"/>
      <c r="J255" s="22"/>
      <c r="K255" s="22"/>
      <c r="L255" s="20" t="s">
        <v>53</v>
      </c>
      <c r="M255" s="22"/>
      <c r="N255" s="22" t="s">
        <v>376</v>
      </c>
      <c r="O255" s="23"/>
      <c r="P255" s="18" t="s">
        <v>56</v>
      </c>
      <c r="Q255" s="72"/>
      <c r="R255" s="72"/>
      <c r="S255" s="25">
        <v>60</v>
      </c>
      <c r="T255" s="26"/>
      <c r="U255" s="26"/>
      <c r="V255" s="25">
        <v>60</v>
      </c>
      <c r="W255" s="26"/>
      <c r="X255" s="25">
        <v>60</v>
      </c>
      <c r="Y255" s="26">
        <f>T255+R255+Q255+U255+W255</f>
        <v>0</v>
      </c>
      <c r="Z255" s="27">
        <v>420</v>
      </c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>
        <f>SUM(AM255:AS255)</f>
        <v>0</v>
      </c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72">
        <f>Y255-AV255-AX255-AW255</f>
        <v>0</v>
      </c>
      <c r="AZ255" s="68"/>
      <c r="BA255" s="26">
        <f>AL255+AG255+AA255+AT255</f>
        <v>0</v>
      </c>
      <c r="BB255" s="30">
        <f>BD255+AO255+AG255</f>
        <v>0</v>
      </c>
      <c r="BC255" s="30">
        <f>BD255+AS255</f>
        <v>0</v>
      </c>
      <c r="BD255" s="30">
        <f>IF(BA255&gt;0,Y255-BA255,BA255)</f>
        <v>0</v>
      </c>
      <c r="BE255" s="31">
        <v>5</v>
      </c>
      <c r="BF255" s="30" t="s">
        <v>57</v>
      </c>
      <c r="BG255" s="31">
        <f>BE255*Q255</f>
        <v>0</v>
      </c>
      <c r="BH255" s="31">
        <f>BE255*R255*0.4</f>
        <v>0</v>
      </c>
      <c r="BI255" s="142"/>
      <c r="BJ255" s="142"/>
      <c r="BK255" s="32">
        <f>Y255*BE255</f>
        <v>0</v>
      </c>
      <c r="BL255" s="25">
        <v>60</v>
      </c>
      <c r="BM255" s="25">
        <v>60</v>
      </c>
      <c r="BN255" s="25">
        <v>60</v>
      </c>
      <c r="BO255" s="25">
        <v>60</v>
      </c>
      <c r="BP255" s="25">
        <f>BE255*AV255</f>
        <v>0</v>
      </c>
      <c r="BQ255" s="25">
        <f>BE255*AX255</f>
        <v>0</v>
      </c>
      <c r="BR255" s="26"/>
      <c r="BS255" s="32"/>
    </row>
    <row r="256" spans="1:71" s="6" customFormat="1" ht="41.25" customHeight="1">
      <c r="A256" s="18">
        <v>253</v>
      </c>
      <c r="B256" s="18" t="s">
        <v>94</v>
      </c>
      <c r="C256" s="18" t="s">
        <v>158</v>
      </c>
      <c r="D256" s="18" t="s">
        <v>96</v>
      </c>
      <c r="E256" s="22" t="s">
        <v>378</v>
      </c>
      <c r="F256" s="52" t="s">
        <v>123</v>
      </c>
      <c r="G256" s="52" t="s">
        <v>123</v>
      </c>
      <c r="H256" s="22"/>
      <c r="I256" s="22"/>
      <c r="J256" s="22">
        <v>300</v>
      </c>
      <c r="K256" s="22" t="s">
        <v>878</v>
      </c>
      <c r="L256" s="22"/>
      <c r="M256" s="22"/>
      <c r="N256" s="22" t="s">
        <v>379</v>
      </c>
      <c r="O256" s="23" t="s">
        <v>380</v>
      </c>
      <c r="P256" s="18" t="s">
        <v>56</v>
      </c>
      <c r="Q256" s="72"/>
      <c r="R256" s="72"/>
      <c r="S256" s="25"/>
      <c r="T256" s="26"/>
      <c r="U256" s="26"/>
      <c r="V256" s="25"/>
      <c r="W256" s="26"/>
      <c r="X256" s="25"/>
      <c r="Y256" s="26">
        <f>T256+R256+Q256+U256+W256</f>
        <v>0</v>
      </c>
      <c r="Z256" s="27">
        <v>200</v>
      </c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>
        <f>SUM(AM256:AS256)</f>
        <v>0</v>
      </c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72">
        <f>Y256-AV256-AX256-AW256</f>
        <v>0</v>
      </c>
      <c r="AZ256" s="68"/>
      <c r="BA256" s="26">
        <f>AL256+AG256+AA256+AT256</f>
        <v>0</v>
      </c>
      <c r="BB256" s="30">
        <f>BD256+AO256+AG256</f>
        <v>0</v>
      </c>
      <c r="BC256" s="30">
        <f>BD256+AS256</f>
        <v>0</v>
      </c>
      <c r="BD256" s="30">
        <f>IF(BA256&gt;0,Y256-BA256,BA256)</f>
        <v>0</v>
      </c>
      <c r="BE256" s="31"/>
      <c r="BF256" s="30" t="s">
        <v>57</v>
      </c>
      <c r="BG256" s="31">
        <f>BE256*Q256</f>
        <v>0</v>
      </c>
      <c r="BH256" s="31">
        <f>BE256*R256*0.4</f>
        <v>0</v>
      </c>
      <c r="BI256" s="31"/>
      <c r="BJ256" s="31"/>
      <c r="BK256" s="32">
        <f>Y256*BE256</f>
        <v>0</v>
      </c>
      <c r="BL256" s="25"/>
      <c r="BM256" s="25"/>
      <c r="BN256" s="25">
        <v>200</v>
      </c>
      <c r="BO256" s="25"/>
      <c r="BP256" s="25">
        <f>BE256*AV256</f>
        <v>0</v>
      </c>
      <c r="BQ256" s="25">
        <f>BE256*AX256</f>
        <v>0</v>
      </c>
      <c r="BR256" s="26"/>
      <c r="BS256" s="32"/>
    </row>
    <row r="257" spans="1:71" s="6" customFormat="1" ht="41.25" customHeight="1">
      <c r="A257" s="18">
        <v>254</v>
      </c>
      <c r="B257" s="18" t="s">
        <v>94</v>
      </c>
      <c r="C257" s="18" t="s">
        <v>177</v>
      </c>
      <c r="D257" s="18" t="s">
        <v>96</v>
      </c>
      <c r="E257" s="22" t="s">
        <v>381</v>
      </c>
      <c r="F257" s="52" t="s">
        <v>123</v>
      </c>
      <c r="G257" s="52" t="s">
        <v>123</v>
      </c>
      <c r="H257" s="22"/>
      <c r="I257" s="22"/>
      <c r="J257" s="22">
        <v>200</v>
      </c>
      <c r="K257" s="22" t="s">
        <v>298</v>
      </c>
      <c r="L257" s="22"/>
      <c r="M257" s="22"/>
      <c r="N257" s="22" t="s">
        <v>382</v>
      </c>
      <c r="O257" s="23"/>
      <c r="P257" s="18" t="s">
        <v>56</v>
      </c>
      <c r="Q257" s="29">
        <v>20</v>
      </c>
      <c r="R257" s="72"/>
      <c r="S257" s="25">
        <v>20</v>
      </c>
      <c r="T257" s="26"/>
      <c r="U257" s="26"/>
      <c r="V257" s="25">
        <v>20</v>
      </c>
      <c r="W257" s="26"/>
      <c r="X257" s="25">
        <v>20</v>
      </c>
      <c r="Y257" s="53">
        <f>T257+R257+Q257+U257+W257</f>
        <v>20</v>
      </c>
      <c r="Z257" s="27">
        <v>140</v>
      </c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>
        <f>SUM(AM257:AS257)</f>
        <v>0</v>
      </c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9">
        <f>Y257-AV257-AX257-AW257</f>
        <v>20</v>
      </c>
      <c r="AZ257" s="29">
        <f>'Layout for trees right'!E31</f>
        <v>20</v>
      </c>
      <c r="BA257" s="26">
        <f>AL257+AG257+AA257+AT257</f>
        <v>0</v>
      </c>
      <c r="BB257" s="30">
        <f>BD257+AO257+AG257</f>
        <v>0</v>
      </c>
      <c r="BC257" s="30">
        <f>BD257+AS257</f>
        <v>0</v>
      </c>
      <c r="BD257" s="30">
        <f>IF(BA257&gt;0,Y257-BA257,BA257)</f>
        <v>0</v>
      </c>
      <c r="BE257" s="31">
        <v>24</v>
      </c>
      <c r="BF257" s="30" t="s">
        <v>57</v>
      </c>
      <c r="BG257" s="31">
        <f>BE257*Q257</f>
        <v>480</v>
      </c>
      <c r="BH257" s="31">
        <f>BE257*R257*0.4</f>
        <v>0</v>
      </c>
      <c r="BI257" s="142"/>
      <c r="BJ257" s="142"/>
      <c r="BK257" s="32">
        <f>Y257*BE257</f>
        <v>480</v>
      </c>
      <c r="BL257" s="25">
        <v>20</v>
      </c>
      <c r="BM257" s="25">
        <v>20</v>
      </c>
      <c r="BN257" s="25">
        <v>20</v>
      </c>
      <c r="BO257" s="25">
        <v>20</v>
      </c>
      <c r="BP257" s="25">
        <f>BE257*AV257</f>
        <v>0</v>
      </c>
      <c r="BQ257" s="25">
        <f>BE257*AX257</f>
        <v>0</v>
      </c>
      <c r="BR257" s="26"/>
      <c r="BS257" s="32"/>
    </row>
    <row r="258" spans="1:71" s="6" customFormat="1" ht="41.25" customHeight="1">
      <c r="A258" s="18">
        <v>255</v>
      </c>
      <c r="B258" s="18" t="s">
        <v>94</v>
      </c>
      <c r="C258" s="18" t="s">
        <v>388</v>
      </c>
      <c r="D258" s="18" t="s">
        <v>96</v>
      </c>
      <c r="E258" s="22" t="s">
        <v>389</v>
      </c>
      <c r="F258" s="58" t="s">
        <v>146</v>
      </c>
      <c r="G258" s="52" t="s">
        <v>123</v>
      </c>
      <c r="H258" s="22"/>
      <c r="I258" s="22"/>
      <c r="J258" s="22"/>
      <c r="K258" s="22"/>
      <c r="L258" s="22"/>
      <c r="M258" s="22"/>
      <c r="N258" s="22" t="s">
        <v>390</v>
      </c>
      <c r="O258" s="23"/>
      <c r="P258" s="38" t="s">
        <v>56</v>
      </c>
      <c r="Q258" s="29">
        <v>20</v>
      </c>
      <c r="R258" s="72"/>
      <c r="S258" s="40">
        <v>20</v>
      </c>
      <c r="T258" s="63">
        <v>20</v>
      </c>
      <c r="U258" s="26"/>
      <c r="V258" s="25">
        <v>20</v>
      </c>
      <c r="W258" s="63">
        <v>30</v>
      </c>
      <c r="X258" s="25">
        <v>20</v>
      </c>
      <c r="Y258" s="53">
        <f>T258+R258+Q258+U258+W258</f>
        <v>70</v>
      </c>
      <c r="Z258" s="27">
        <v>140</v>
      </c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>
        <f>SUM(AM258:AS258)</f>
        <v>0</v>
      </c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9">
        <f>Y258-AV258-AX258-AW258</f>
        <v>70</v>
      </c>
      <c r="AZ258" s="29">
        <f>'Layout for shadhous 3'!E63</f>
        <v>70</v>
      </c>
      <c r="BA258" s="26">
        <f>AL258+AG258+AA258+AT258</f>
        <v>0</v>
      </c>
      <c r="BB258" s="30">
        <f>BD258+AO258+AG258</f>
        <v>0</v>
      </c>
      <c r="BC258" s="30">
        <f>BD258+AS258</f>
        <v>0</v>
      </c>
      <c r="BD258" s="30">
        <f>IF(BA258&gt;0,Y258-BA258,BA258)</f>
        <v>0</v>
      </c>
      <c r="BE258" s="31">
        <v>8</v>
      </c>
      <c r="BF258" s="30" t="s">
        <v>57</v>
      </c>
      <c r="BG258" s="31">
        <f>BE258*Q258</f>
        <v>160</v>
      </c>
      <c r="BH258" s="31">
        <f>BE258*R258*0.4</f>
        <v>0</v>
      </c>
      <c r="BI258" s="142"/>
      <c r="BJ258" s="142"/>
      <c r="BK258" s="32">
        <f>Y258*BE258</f>
        <v>560</v>
      </c>
      <c r="BL258" s="25">
        <v>20</v>
      </c>
      <c r="BM258" s="25">
        <v>20</v>
      </c>
      <c r="BN258" s="25">
        <v>20</v>
      </c>
      <c r="BO258" s="25">
        <v>20</v>
      </c>
      <c r="BP258" s="25">
        <f>BE258*AV258</f>
        <v>0</v>
      </c>
      <c r="BQ258" s="25">
        <f>BE258*AX258</f>
        <v>0</v>
      </c>
      <c r="BR258" s="26"/>
      <c r="BS258" s="32"/>
    </row>
    <row r="259" spans="1:71" s="6" customFormat="1" ht="41.25" customHeight="1">
      <c r="A259" s="18">
        <v>256</v>
      </c>
      <c r="B259" s="18" t="s">
        <v>94</v>
      </c>
      <c r="C259" s="18" t="s">
        <v>388</v>
      </c>
      <c r="D259" s="18" t="s">
        <v>96</v>
      </c>
      <c r="E259" s="22" t="s">
        <v>389</v>
      </c>
      <c r="F259" s="58" t="s">
        <v>146</v>
      </c>
      <c r="G259" s="52" t="s">
        <v>123</v>
      </c>
      <c r="H259" s="22"/>
      <c r="I259" s="22"/>
      <c r="J259" s="22"/>
      <c r="K259" s="22"/>
      <c r="L259" s="22"/>
      <c r="M259" s="22"/>
      <c r="N259" s="22" t="s">
        <v>391</v>
      </c>
      <c r="O259" s="23"/>
      <c r="P259" s="38" t="s">
        <v>56</v>
      </c>
      <c r="Q259" s="29">
        <v>20</v>
      </c>
      <c r="R259" s="72"/>
      <c r="S259" s="40">
        <v>20</v>
      </c>
      <c r="T259" s="63">
        <v>20</v>
      </c>
      <c r="U259" s="26"/>
      <c r="V259" s="25">
        <v>20</v>
      </c>
      <c r="W259" s="26"/>
      <c r="X259" s="25">
        <v>20</v>
      </c>
      <c r="Y259" s="53">
        <f>T259+R259+Q259+U259+W259</f>
        <v>40</v>
      </c>
      <c r="Z259" s="27">
        <v>140</v>
      </c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>
        <f>SUM(AM259:AS259)</f>
        <v>0</v>
      </c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9">
        <f>Y259-AV259-AX259-AW259</f>
        <v>40</v>
      </c>
      <c r="AZ259" s="29">
        <f>'Layout for shadhous 3'!E61</f>
        <v>30</v>
      </c>
      <c r="BA259" s="26">
        <f>AL259+AG259+AA259+AT259</f>
        <v>0</v>
      </c>
      <c r="BB259" s="30">
        <f>BD259+AO259+AG259</f>
        <v>0</v>
      </c>
      <c r="BC259" s="30">
        <f>BD259+AS259</f>
        <v>0</v>
      </c>
      <c r="BD259" s="30">
        <f>IF(BA259&gt;0,Y259-BA259,BA259)</f>
        <v>0</v>
      </c>
      <c r="BE259" s="31">
        <v>8</v>
      </c>
      <c r="BF259" s="30" t="s">
        <v>57</v>
      </c>
      <c r="BG259" s="31">
        <f>BE259*Q259</f>
        <v>160</v>
      </c>
      <c r="BH259" s="31">
        <f>BE259*R259*0.4</f>
        <v>0</v>
      </c>
      <c r="BI259" s="142"/>
      <c r="BJ259" s="142"/>
      <c r="BK259" s="32">
        <f>Y259*BE259</f>
        <v>320</v>
      </c>
      <c r="BL259" s="25">
        <v>20</v>
      </c>
      <c r="BM259" s="25">
        <v>20</v>
      </c>
      <c r="BN259" s="25">
        <v>20</v>
      </c>
      <c r="BO259" s="25">
        <v>20</v>
      </c>
      <c r="BP259" s="25">
        <f>BE259*AV259</f>
        <v>0</v>
      </c>
      <c r="BQ259" s="25">
        <f>BE259*AX259</f>
        <v>0</v>
      </c>
      <c r="BR259" s="26"/>
      <c r="BS259" s="32"/>
    </row>
    <row r="260" spans="1:71" s="6" customFormat="1" ht="41.25" customHeight="1">
      <c r="A260" s="18">
        <v>257</v>
      </c>
      <c r="B260" s="18" t="s">
        <v>94</v>
      </c>
      <c r="C260" s="18" t="s">
        <v>132</v>
      </c>
      <c r="D260" s="18" t="s">
        <v>96</v>
      </c>
      <c r="E260" s="22" t="s">
        <v>397</v>
      </c>
      <c r="F260" s="52" t="s">
        <v>123</v>
      </c>
      <c r="G260" s="52" t="s">
        <v>123</v>
      </c>
      <c r="H260" s="22"/>
      <c r="I260" s="22"/>
      <c r="J260" s="22">
        <v>200</v>
      </c>
      <c r="K260" s="22" t="s">
        <v>196</v>
      </c>
      <c r="L260" s="22"/>
      <c r="M260" s="22"/>
      <c r="N260" s="22" t="s">
        <v>398</v>
      </c>
      <c r="O260" s="23"/>
      <c r="P260" s="38" t="s">
        <v>56</v>
      </c>
      <c r="Q260" s="29">
        <v>60</v>
      </c>
      <c r="R260" s="72"/>
      <c r="S260" s="40">
        <v>60</v>
      </c>
      <c r="T260" s="26"/>
      <c r="U260" s="26"/>
      <c r="V260" s="25">
        <v>60</v>
      </c>
      <c r="W260" s="26"/>
      <c r="X260" s="25">
        <v>60</v>
      </c>
      <c r="Y260" s="53">
        <f>T260+R260+Q260+U260+W260</f>
        <v>60</v>
      </c>
      <c r="Z260" s="27">
        <v>420</v>
      </c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>
        <f>SUM(AM260:AS260)</f>
        <v>0</v>
      </c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9">
        <f>Y260-AV260-AX260-AW260</f>
        <v>60</v>
      </c>
      <c r="AZ260" s="29"/>
      <c r="BA260" s="26">
        <f>AL260+AG260+AA260+AT260</f>
        <v>0</v>
      </c>
      <c r="BB260" s="30">
        <f>BD260+AO260+AG260</f>
        <v>0</v>
      </c>
      <c r="BC260" s="30">
        <f>BD260+AS260</f>
        <v>0</v>
      </c>
      <c r="BD260" s="30">
        <f>IF(BA260&gt;0,Y260-BA260,BA260)</f>
        <v>0</v>
      </c>
      <c r="BE260" s="31">
        <v>5</v>
      </c>
      <c r="BF260" s="30" t="s">
        <v>57</v>
      </c>
      <c r="BG260" s="31">
        <f>BE260*Q260</f>
        <v>300</v>
      </c>
      <c r="BH260" s="31">
        <f>BE260*R260*0.4</f>
        <v>0</v>
      </c>
      <c r="BI260" s="142"/>
      <c r="BJ260" s="142"/>
      <c r="BK260" s="32">
        <f>Y260*BE260</f>
        <v>300</v>
      </c>
      <c r="BL260" s="25">
        <v>60</v>
      </c>
      <c r="BM260" s="25">
        <v>60</v>
      </c>
      <c r="BN260" s="25">
        <v>60</v>
      </c>
      <c r="BO260" s="25">
        <v>60</v>
      </c>
      <c r="BP260" s="25">
        <f>BE260*AV260</f>
        <v>0</v>
      </c>
      <c r="BQ260" s="25">
        <f>BE260*AX260</f>
        <v>0</v>
      </c>
      <c r="BR260" s="26"/>
      <c r="BS260" s="32"/>
    </row>
    <row r="261" spans="1:71" s="6" customFormat="1" ht="41.25" customHeight="1">
      <c r="A261" s="18">
        <v>258</v>
      </c>
      <c r="B261" s="18" t="s">
        <v>94</v>
      </c>
      <c r="C261" s="18" t="s">
        <v>95</v>
      </c>
      <c r="D261" s="18" t="s">
        <v>96</v>
      </c>
      <c r="E261" s="22" t="s">
        <v>399</v>
      </c>
      <c r="F261" s="48" t="s">
        <v>98</v>
      </c>
      <c r="G261" s="52" t="s">
        <v>123</v>
      </c>
      <c r="H261" s="22"/>
      <c r="I261" s="22"/>
      <c r="J261" s="22"/>
      <c r="K261" s="22"/>
      <c r="L261" s="22"/>
      <c r="M261" s="22"/>
      <c r="N261" s="22" t="s">
        <v>400</v>
      </c>
      <c r="O261" s="23"/>
      <c r="P261" s="38" t="s">
        <v>56</v>
      </c>
      <c r="Q261" s="29">
        <v>60</v>
      </c>
      <c r="R261" s="72"/>
      <c r="S261" s="40">
        <v>60</v>
      </c>
      <c r="T261" s="63">
        <v>40</v>
      </c>
      <c r="U261" s="26"/>
      <c r="V261" s="25">
        <v>60</v>
      </c>
      <c r="W261" s="26"/>
      <c r="X261" s="25">
        <v>40</v>
      </c>
      <c r="Y261" s="53">
        <f>T261+R261+Q261+U261+W261</f>
        <v>100</v>
      </c>
      <c r="Z261" s="27">
        <v>420</v>
      </c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>
        <f>SUM(AM261:AS261)</f>
        <v>0</v>
      </c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9">
        <f>Y261-AV261-AX261-AW261</f>
        <v>100</v>
      </c>
      <c r="AZ261" s="29"/>
      <c r="BA261" s="26">
        <f>AL261+AG261+AA261+AT261</f>
        <v>0</v>
      </c>
      <c r="BB261" s="30">
        <f>BD261+AO261+AG261</f>
        <v>0</v>
      </c>
      <c r="BC261" s="30">
        <f>BD261+AS261</f>
        <v>0</v>
      </c>
      <c r="BD261" s="30">
        <f>IF(BA261&gt;0,Y261-BA261,BA261)</f>
        <v>0</v>
      </c>
      <c r="BE261" s="31">
        <v>5</v>
      </c>
      <c r="BF261" s="30" t="s">
        <v>57</v>
      </c>
      <c r="BG261" s="31">
        <f>BE261*Q261</f>
        <v>300</v>
      </c>
      <c r="BH261" s="31">
        <f>BE261*R261*0.4</f>
        <v>0</v>
      </c>
      <c r="BI261" s="142"/>
      <c r="BJ261" s="142"/>
      <c r="BK261" s="32">
        <f>Y261*BE261</f>
        <v>500</v>
      </c>
      <c r="BL261" s="25">
        <v>40</v>
      </c>
      <c r="BM261" s="25">
        <v>40</v>
      </c>
      <c r="BN261" s="25">
        <v>40</v>
      </c>
      <c r="BO261" s="25">
        <v>40</v>
      </c>
      <c r="BP261" s="25">
        <f>BE261*AV261</f>
        <v>0</v>
      </c>
      <c r="BQ261" s="25">
        <f>BE261*AX261</f>
        <v>0</v>
      </c>
      <c r="BR261" s="26"/>
      <c r="BS261" s="32"/>
    </row>
    <row r="262" spans="1:71" s="6" customFormat="1" ht="41.25" customHeight="1">
      <c r="A262" s="18">
        <v>259</v>
      </c>
      <c r="B262" s="18" t="s">
        <v>87</v>
      </c>
      <c r="C262" s="65" t="s">
        <v>125</v>
      </c>
      <c r="D262" s="47" t="s">
        <v>89</v>
      </c>
      <c r="E262" s="20" t="s">
        <v>343</v>
      </c>
      <c r="F262" s="21" t="s">
        <v>344</v>
      </c>
      <c r="G262" s="21" t="s">
        <v>52</v>
      </c>
      <c r="H262" s="22"/>
      <c r="I262" s="22" t="s">
        <v>345</v>
      </c>
      <c r="J262" s="22">
        <v>350</v>
      </c>
      <c r="K262" s="22" t="s">
        <v>931</v>
      </c>
      <c r="L262" s="20" t="s">
        <v>53</v>
      </c>
      <c r="M262" s="22"/>
      <c r="N262" s="22" t="s">
        <v>402</v>
      </c>
      <c r="O262" s="23" t="s">
        <v>403</v>
      </c>
      <c r="P262" s="18" t="s">
        <v>56</v>
      </c>
      <c r="Q262" s="72"/>
      <c r="R262" s="72"/>
      <c r="S262" s="25">
        <v>200</v>
      </c>
      <c r="T262" s="26"/>
      <c r="U262" s="26"/>
      <c r="V262" s="25"/>
      <c r="W262" s="26"/>
      <c r="X262" s="25"/>
      <c r="Y262" s="26">
        <f>T262+R262+Q262+U262+W262</f>
        <v>0</v>
      </c>
      <c r="Z262" s="27">
        <v>200</v>
      </c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>
        <f>SUM(AM262:AS262)</f>
        <v>0</v>
      </c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72">
        <f>Y262-AV262-AX262-AW262</f>
        <v>0</v>
      </c>
      <c r="AZ262" s="68"/>
      <c r="BA262" s="26">
        <f>AL262+AG262+AA262+AT262</f>
        <v>0</v>
      </c>
      <c r="BB262" s="30">
        <f>BD262+AO262+AG262</f>
        <v>0</v>
      </c>
      <c r="BC262" s="30">
        <f>BD262+AS262</f>
        <v>0</v>
      </c>
      <c r="BD262" s="30">
        <f>IF(BA262&gt;0,Y262-BA262,BA262)</f>
        <v>0</v>
      </c>
      <c r="BE262" s="31">
        <v>3.75</v>
      </c>
      <c r="BF262" s="30" t="s">
        <v>57</v>
      </c>
      <c r="BG262" s="31">
        <f>BE262*Q262</f>
        <v>0</v>
      </c>
      <c r="BH262" s="31">
        <f>BE262*R262*0.4</f>
        <v>0</v>
      </c>
      <c r="BI262" s="142"/>
      <c r="BJ262" s="142"/>
      <c r="BK262" s="32">
        <f>Y262*BE262</f>
        <v>0</v>
      </c>
      <c r="BL262" s="25"/>
      <c r="BM262" s="25"/>
      <c r="BN262" s="25"/>
      <c r="BO262" s="25"/>
      <c r="BP262" s="25">
        <f>BE262*AV262</f>
        <v>0</v>
      </c>
      <c r="BQ262" s="25">
        <f>BE262*AX262</f>
        <v>0</v>
      </c>
      <c r="BR262" s="26"/>
      <c r="BS262" s="32"/>
    </row>
    <row r="263" spans="1:71" s="6" customFormat="1" ht="41.25" customHeight="1">
      <c r="A263" s="18">
        <v>260</v>
      </c>
      <c r="B263" s="18" t="s">
        <v>94</v>
      </c>
      <c r="C263" s="18" t="s">
        <v>132</v>
      </c>
      <c r="D263" s="18" t="s">
        <v>96</v>
      </c>
      <c r="E263" s="22" t="s">
        <v>411</v>
      </c>
      <c r="F263" s="52" t="s">
        <v>123</v>
      </c>
      <c r="G263" s="52" t="s">
        <v>123</v>
      </c>
      <c r="H263" s="22"/>
      <c r="I263" s="22"/>
      <c r="J263" s="22">
        <v>140</v>
      </c>
      <c r="K263" s="22" t="s">
        <v>927</v>
      </c>
      <c r="L263" s="22"/>
      <c r="M263" s="22"/>
      <c r="N263" s="22" t="s">
        <v>412</v>
      </c>
      <c r="O263" s="23"/>
      <c r="P263" s="18" t="s">
        <v>56</v>
      </c>
      <c r="Q263" s="29">
        <v>60</v>
      </c>
      <c r="R263" s="72"/>
      <c r="S263" s="25">
        <v>60</v>
      </c>
      <c r="T263" s="29">
        <v>60</v>
      </c>
      <c r="U263" s="26"/>
      <c r="V263" s="25">
        <v>60</v>
      </c>
      <c r="W263" s="29">
        <v>63</v>
      </c>
      <c r="X263" s="25">
        <v>60</v>
      </c>
      <c r="Y263" s="53">
        <f>T263+R263+Q263+U263+W263</f>
        <v>183</v>
      </c>
      <c r="Z263" s="27">
        <v>420</v>
      </c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41">
        <f>SUM(AM263:AS263)</f>
        <v>65</v>
      </c>
      <c r="AM263" s="41"/>
      <c r="AN263" s="49">
        <v>0</v>
      </c>
      <c r="AO263" s="49">
        <v>65</v>
      </c>
      <c r="AP263" s="49"/>
      <c r="AQ263" s="49"/>
      <c r="AR263" s="49"/>
      <c r="AS263" s="49"/>
      <c r="AT263" s="26"/>
      <c r="AU263" s="26"/>
      <c r="AV263" s="26"/>
      <c r="AW263" s="26"/>
      <c r="AX263" s="26"/>
      <c r="AY263" s="29">
        <f>Y263-AV263-AX263-AW263</f>
        <v>183</v>
      </c>
      <c r="AZ263" s="29">
        <f>'Layout for trees left'!U9+'Layout for trees right'!E28</f>
        <v>183</v>
      </c>
      <c r="BA263" s="26">
        <f>AL263+AG263+AA263+AT263</f>
        <v>65</v>
      </c>
      <c r="BB263" s="30">
        <f>BD263+AO263+AG263</f>
        <v>183</v>
      </c>
      <c r="BC263" s="30">
        <f>BD263+AS263</f>
        <v>118</v>
      </c>
      <c r="BD263" s="30">
        <f>IF(BA263&gt;0,Y263-BA263,BA263)</f>
        <v>118</v>
      </c>
      <c r="BE263" s="31">
        <v>5</v>
      </c>
      <c r="BF263" s="30" t="s">
        <v>57</v>
      </c>
      <c r="BG263" s="31">
        <f>BE263*Q263</f>
        <v>300</v>
      </c>
      <c r="BH263" s="31">
        <f>BE263*R263*0.4</f>
        <v>0</v>
      </c>
      <c r="BI263" s="31"/>
      <c r="BJ263" s="31"/>
      <c r="BK263" s="32">
        <f>Y263*BE263</f>
        <v>915</v>
      </c>
      <c r="BL263" s="25">
        <v>60</v>
      </c>
      <c r="BM263" s="25">
        <v>60</v>
      </c>
      <c r="BN263" s="25">
        <v>60</v>
      </c>
      <c r="BO263" s="25">
        <v>60</v>
      </c>
      <c r="BP263" s="25">
        <f>BE263*AV263</f>
        <v>0</v>
      </c>
      <c r="BQ263" s="25">
        <f>BE263*AX263</f>
        <v>0</v>
      </c>
      <c r="BR263" s="26"/>
      <c r="BS263" s="32"/>
    </row>
    <row r="264" spans="1:71" s="6" customFormat="1" ht="41.25" customHeight="1">
      <c r="A264" s="18">
        <v>261</v>
      </c>
      <c r="B264" s="18" t="s">
        <v>94</v>
      </c>
      <c r="C264" s="18" t="s">
        <v>215</v>
      </c>
      <c r="D264" s="18" t="s">
        <v>96</v>
      </c>
      <c r="E264" s="22" t="s">
        <v>216</v>
      </c>
      <c r="F264" s="21" t="s">
        <v>52</v>
      </c>
      <c r="G264" s="21" t="s">
        <v>52</v>
      </c>
      <c r="H264" s="22"/>
      <c r="I264" s="22"/>
      <c r="J264" s="22">
        <v>180</v>
      </c>
      <c r="K264" s="22" t="s">
        <v>292</v>
      </c>
      <c r="L264" s="22"/>
      <c r="M264" s="22"/>
      <c r="N264" s="22" t="s">
        <v>416</v>
      </c>
      <c r="O264" s="23"/>
      <c r="P264" s="18" t="s">
        <v>56</v>
      </c>
      <c r="Q264" s="72"/>
      <c r="R264" s="72"/>
      <c r="S264" s="25"/>
      <c r="T264" s="26"/>
      <c r="U264" s="26"/>
      <c r="V264" s="25"/>
      <c r="W264" s="26"/>
      <c r="X264" s="25"/>
      <c r="Y264" s="26">
        <f>T264+R264+Q264+U264+W264</f>
        <v>0</v>
      </c>
      <c r="Z264" s="27">
        <v>200</v>
      </c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>
        <f>SUM(AM264:AS264)</f>
        <v>0</v>
      </c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72">
        <f>Y264-AV264-AX264-AW264</f>
        <v>0</v>
      </c>
      <c r="AZ264" s="68"/>
      <c r="BA264" s="26">
        <f>AL264+AG264+AA264+AT264</f>
        <v>0</v>
      </c>
      <c r="BB264" s="30">
        <f>BD264+AO264+AG264</f>
        <v>0</v>
      </c>
      <c r="BC264" s="30">
        <f>BD264+AS264</f>
        <v>0</v>
      </c>
      <c r="BD264" s="30">
        <f>IF(BA264&gt;0,Y264-BA264,BA264)</f>
        <v>0</v>
      </c>
      <c r="BE264" s="31"/>
      <c r="BF264" s="30" t="s">
        <v>57</v>
      </c>
      <c r="BG264" s="31">
        <f>BE264*Q264</f>
        <v>0</v>
      </c>
      <c r="BH264" s="31">
        <f>BE264*R264*0.4</f>
        <v>0</v>
      </c>
      <c r="BI264" s="31"/>
      <c r="BJ264" s="31"/>
      <c r="BK264" s="32">
        <f>Y264*BE264</f>
        <v>0</v>
      </c>
      <c r="BL264" s="25"/>
      <c r="BM264" s="25"/>
      <c r="BN264" s="25">
        <v>200</v>
      </c>
      <c r="BO264" s="25"/>
      <c r="BP264" s="25">
        <f>BE264*AV264</f>
        <v>0</v>
      </c>
      <c r="BQ264" s="25">
        <f>BE264*AX264</f>
        <v>0</v>
      </c>
      <c r="BR264" s="28"/>
      <c r="BS264" s="32"/>
    </row>
    <row r="265" spans="1:71" s="6" customFormat="1" ht="41.25" customHeight="1">
      <c r="A265" s="18">
        <v>262</v>
      </c>
      <c r="B265" s="18" t="s">
        <v>66</v>
      </c>
      <c r="C265" s="18" t="s">
        <v>139</v>
      </c>
      <c r="D265" s="56" t="s">
        <v>50</v>
      </c>
      <c r="E265" s="20" t="s">
        <v>417</v>
      </c>
      <c r="F265" s="21" t="s">
        <v>52</v>
      </c>
      <c r="G265" s="21" t="s">
        <v>52</v>
      </c>
      <c r="H265" s="22">
        <v>120</v>
      </c>
      <c r="I265" s="22">
        <v>200</v>
      </c>
      <c r="J265" s="22"/>
      <c r="K265" s="22"/>
      <c r="L265" s="20" t="s">
        <v>53</v>
      </c>
      <c r="M265" s="22"/>
      <c r="N265" s="22" t="s">
        <v>418</v>
      </c>
      <c r="O265" s="23"/>
      <c r="P265" s="18" t="s">
        <v>56</v>
      </c>
      <c r="Q265" s="72"/>
      <c r="R265" s="72"/>
      <c r="S265" s="25">
        <v>920</v>
      </c>
      <c r="T265" s="26"/>
      <c r="U265" s="26"/>
      <c r="V265" s="25">
        <v>920</v>
      </c>
      <c r="W265" s="26"/>
      <c r="X265" s="25">
        <v>552</v>
      </c>
      <c r="Y265" s="26">
        <f>T265+R265+Q265+U265+W265</f>
        <v>0</v>
      </c>
      <c r="Z265" s="27">
        <v>4600</v>
      </c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>
        <f>SUM(AM265:AS265)</f>
        <v>0</v>
      </c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72">
        <f>Y265-AV265-AX265-AW265</f>
        <v>0</v>
      </c>
      <c r="AZ265" s="68"/>
      <c r="BA265" s="26">
        <f>AL265+AG265+AA265+AT265</f>
        <v>0</v>
      </c>
      <c r="BB265" s="30">
        <f>BD265+AO265+AG265</f>
        <v>0</v>
      </c>
      <c r="BC265" s="30">
        <f>BD265+AS265</f>
        <v>0</v>
      </c>
      <c r="BD265" s="30">
        <f>IF(BA265&gt;0,Y265-BA265,BA265)</f>
        <v>0</v>
      </c>
      <c r="BE265" s="31">
        <v>30</v>
      </c>
      <c r="BF265" s="30" t="s">
        <v>57</v>
      </c>
      <c r="BG265" s="31">
        <f>BE265*Q265</f>
        <v>0</v>
      </c>
      <c r="BH265" s="31">
        <f>BE265*R265*0.4</f>
        <v>0</v>
      </c>
      <c r="BI265" s="31"/>
      <c r="BJ265" s="31"/>
      <c r="BK265" s="32">
        <f>Y265*BE265</f>
        <v>0</v>
      </c>
      <c r="BL265" s="25">
        <v>552</v>
      </c>
      <c r="BM265" s="25">
        <v>552</v>
      </c>
      <c r="BN265" s="25">
        <v>552</v>
      </c>
      <c r="BO265" s="25">
        <v>552</v>
      </c>
      <c r="BP265" s="25">
        <f>BE265*AV265</f>
        <v>0</v>
      </c>
      <c r="BQ265" s="25">
        <f>BE265*AX265</f>
        <v>0</v>
      </c>
      <c r="BR265" s="26"/>
      <c r="BS265" s="32"/>
    </row>
    <row r="266" spans="1:71" s="6" customFormat="1" ht="41.25" customHeight="1">
      <c r="A266" s="18">
        <v>263</v>
      </c>
      <c r="B266" s="18" t="s">
        <v>94</v>
      </c>
      <c r="C266" s="66" t="s">
        <v>215</v>
      </c>
      <c r="D266" s="18" t="s">
        <v>96</v>
      </c>
      <c r="E266" s="20" t="s">
        <v>216</v>
      </c>
      <c r="F266" s="21" t="s">
        <v>52</v>
      </c>
      <c r="G266" s="21" t="s">
        <v>52</v>
      </c>
      <c r="H266" s="50"/>
      <c r="I266" s="50"/>
      <c r="J266" s="22"/>
      <c r="K266" s="22"/>
      <c r="L266" s="20" t="s">
        <v>53</v>
      </c>
      <c r="M266" s="22"/>
      <c r="N266" s="22" t="s">
        <v>424</v>
      </c>
      <c r="O266" s="23" t="s">
        <v>425</v>
      </c>
      <c r="P266" s="18" t="s">
        <v>56</v>
      </c>
      <c r="Q266" s="72"/>
      <c r="R266" s="72"/>
      <c r="S266" s="25"/>
      <c r="T266" s="26"/>
      <c r="U266" s="26"/>
      <c r="V266" s="25"/>
      <c r="W266" s="29">
        <v>50</v>
      </c>
      <c r="X266" s="25"/>
      <c r="Y266" s="53">
        <f>T266+R266+Q266+U266+W266</f>
        <v>50</v>
      </c>
      <c r="Z266" s="27">
        <v>200</v>
      </c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>
        <f>SUM(AM266:AS266)</f>
        <v>0</v>
      </c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9">
        <f>Y266-AV266-AX266-AW266</f>
        <v>50</v>
      </c>
      <c r="AZ266" s="29"/>
      <c r="BA266" s="26">
        <f>AL266+AG266+AA266+AT266</f>
        <v>0</v>
      </c>
      <c r="BB266" s="30">
        <f>BD266+AO266+AG266</f>
        <v>0</v>
      </c>
      <c r="BC266" s="30">
        <f>BD266+AS266</f>
        <v>0</v>
      </c>
      <c r="BD266" s="30">
        <f>IF(BA266&gt;0,Y266-BA266,BA266)</f>
        <v>0</v>
      </c>
      <c r="BE266" s="31">
        <v>8</v>
      </c>
      <c r="BF266" s="30" t="s">
        <v>57</v>
      </c>
      <c r="BG266" s="31">
        <f>BE266*Q266</f>
        <v>0</v>
      </c>
      <c r="BH266" s="31">
        <f>BE266*R266*0.4</f>
        <v>0</v>
      </c>
      <c r="BI266" s="142"/>
      <c r="BJ266" s="142"/>
      <c r="BK266" s="32">
        <f>Y266*BE266</f>
        <v>400</v>
      </c>
      <c r="BL266" s="25"/>
      <c r="BM266" s="25"/>
      <c r="BN266" s="25"/>
      <c r="BO266" s="25">
        <v>200</v>
      </c>
      <c r="BP266" s="25">
        <f>BE266*AV266</f>
        <v>0</v>
      </c>
      <c r="BQ266" s="25">
        <f>BE266*AX266</f>
        <v>0</v>
      </c>
      <c r="BR266" s="26"/>
      <c r="BS266" s="32"/>
    </row>
    <row r="267" spans="1:71" s="6" customFormat="1" ht="41.25" customHeight="1">
      <c r="A267" s="18">
        <v>264</v>
      </c>
      <c r="B267" s="74" t="s">
        <v>94</v>
      </c>
      <c r="C267" s="44" t="s">
        <v>135</v>
      </c>
      <c r="D267" s="18" t="s">
        <v>96</v>
      </c>
      <c r="E267" s="55" t="s">
        <v>136</v>
      </c>
      <c r="F267" s="34" t="s">
        <v>128</v>
      </c>
      <c r="G267" s="34" t="s">
        <v>128</v>
      </c>
      <c r="H267" s="50"/>
      <c r="I267" s="50"/>
      <c r="J267" s="22"/>
      <c r="K267" s="22"/>
      <c r="L267" s="20" t="s">
        <v>53</v>
      </c>
      <c r="M267" s="22"/>
      <c r="N267" s="22" t="s">
        <v>431</v>
      </c>
      <c r="O267" s="23" t="s">
        <v>432</v>
      </c>
      <c r="P267" s="18" t="s">
        <v>56</v>
      </c>
      <c r="Q267" s="73">
        <v>3502</v>
      </c>
      <c r="R267" s="72"/>
      <c r="S267" s="25"/>
      <c r="T267" s="26"/>
      <c r="U267" s="26"/>
      <c r="V267" s="25"/>
      <c r="W267" s="26"/>
      <c r="X267" s="25">
        <v>200</v>
      </c>
      <c r="Y267" s="53">
        <f>T267+R267+Q267+U267+W267</f>
        <v>3502</v>
      </c>
      <c r="Z267" s="27">
        <v>200</v>
      </c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41">
        <f>SUM(AM267:AS267)</f>
        <v>2102</v>
      </c>
      <c r="AM267" s="41">
        <v>2102</v>
      </c>
      <c r="AN267" s="26"/>
      <c r="AO267" s="26"/>
      <c r="AP267" s="26"/>
      <c r="AQ267" s="26"/>
      <c r="AR267" s="26"/>
      <c r="AS267" s="26"/>
      <c r="AT267" s="26"/>
      <c r="AU267" s="26"/>
      <c r="AV267" s="41">
        <f>1032+1070</f>
        <v>2102</v>
      </c>
      <c r="AW267" s="26"/>
      <c r="AX267" s="26"/>
      <c r="AY267" s="29">
        <f>Y267-AV267-AX267-AW267</f>
        <v>1400</v>
      </c>
      <c r="AZ267" s="29">
        <f ca="1">'Layout for shadhous 1&amp;2'!C69</f>
        <v>1400</v>
      </c>
      <c r="BA267" s="26">
        <f>AL267+AG267+AA267+AT267</f>
        <v>2102</v>
      </c>
      <c r="BB267" s="30">
        <f>BD267+AO267+AG267</f>
        <v>1400</v>
      </c>
      <c r="BC267" s="30">
        <f>BD267+AS267</f>
        <v>1400</v>
      </c>
      <c r="BD267" s="30">
        <f>IF(BA267&gt;0,Y267-BA267,BA267)</f>
        <v>1400</v>
      </c>
      <c r="BE267" s="31">
        <v>5</v>
      </c>
      <c r="BF267" s="30" t="s">
        <v>57</v>
      </c>
      <c r="BG267" s="31">
        <f>BE267*Q267</f>
        <v>17510</v>
      </c>
      <c r="BH267" s="31">
        <f>BE267*R267*0.4</f>
        <v>0</v>
      </c>
      <c r="BI267" s="142"/>
      <c r="BJ267" s="142"/>
      <c r="BK267" s="32">
        <f>Y267*BE267</f>
        <v>17510</v>
      </c>
      <c r="BL267" s="25"/>
      <c r="BM267" s="25"/>
      <c r="BN267" s="25"/>
      <c r="BO267" s="25"/>
      <c r="BP267" s="25">
        <f>BE267*AV267</f>
        <v>10510</v>
      </c>
      <c r="BQ267" s="25">
        <f>BE267*AX267</f>
        <v>0</v>
      </c>
      <c r="BR267" s="26">
        <f>624+40</f>
        <v>664</v>
      </c>
      <c r="BS267" s="32"/>
    </row>
    <row r="268" spans="1:71" s="6" customFormat="1" ht="41.25" customHeight="1">
      <c r="A268" s="18">
        <v>265</v>
      </c>
      <c r="B268" s="18" t="s">
        <v>94</v>
      </c>
      <c r="C268" s="18" t="s">
        <v>158</v>
      </c>
      <c r="D268" s="18" t="s">
        <v>96</v>
      </c>
      <c r="E268" s="20" t="s">
        <v>378</v>
      </c>
      <c r="F268" s="52" t="s">
        <v>123</v>
      </c>
      <c r="G268" s="52"/>
      <c r="H268" s="22"/>
      <c r="I268" s="22"/>
      <c r="J268" s="22"/>
      <c r="K268" s="22"/>
      <c r="L268" s="20" t="s">
        <v>53</v>
      </c>
      <c r="M268" s="22"/>
      <c r="N268" s="22" t="s">
        <v>433</v>
      </c>
      <c r="O268" s="23" t="s">
        <v>434</v>
      </c>
      <c r="P268" s="18" t="s">
        <v>56</v>
      </c>
      <c r="Q268" s="72"/>
      <c r="R268" s="72"/>
      <c r="S268" s="25"/>
      <c r="T268" s="26"/>
      <c r="U268" s="26"/>
      <c r="V268" s="25"/>
      <c r="W268" s="26"/>
      <c r="X268" s="25"/>
      <c r="Y268" s="26">
        <f>T268+R268+Q268+U268+W268</f>
        <v>0</v>
      </c>
      <c r="Z268" s="27">
        <v>200</v>
      </c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>
        <f>SUM(AM268:AS268)</f>
        <v>0</v>
      </c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72">
        <f>Y268-AV268-AX268-AW268</f>
        <v>0</v>
      </c>
      <c r="AZ268" s="68"/>
      <c r="BA268" s="26">
        <f>AL268+AG268+AA268+AT268</f>
        <v>0</v>
      </c>
      <c r="BB268" s="30">
        <f>BD268+AO268+AG268</f>
        <v>0</v>
      </c>
      <c r="BC268" s="30">
        <f>BD268+AS268</f>
        <v>0</v>
      </c>
      <c r="BD268" s="30">
        <f>IF(BA268&gt;0,Y268-BA268,BA268)</f>
        <v>0</v>
      </c>
      <c r="BE268" s="31"/>
      <c r="BF268" s="30" t="s">
        <v>57</v>
      </c>
      <c r="BG268" s="31">
        <f>BE268*Q268</f>
        <v>0</v>
      </c>
      <c r="BH268" s="31">
        <f>BE268*R268*0.4</f>
        <v>0</v>
      </c>
      <c r="BI268" s="31"/>
      <c r="BJ268" s="31"/>
      <c r="BK268" s="32">
        <f>Y268*BE268</f>
        <v>0</v>
      </c>
      <c r="BL268" s="25"/>
      <c r="BM268" s="25"/>
      <c r="BN268" s="25"/>
      <c r="BO268" s="25">
        <v>200</v>
      </c>
      <c r="BP268" s="25">
        <f>BE268*AV268</f>
        <v>0</v>
      </c>
      <c r="BQ268" s="25">
        <f>BE268*AX268</f>
        <v>0</v>
      </c>
      <c r="BR268" s="26"/>
      <c r="BS268" s="32"/>
    </row>
    <row r="269" spans="1:71" s="6" customFormat="1" ht="41.25" customHeight="1">
      <c r="A269" s="18">
        <v>266</v>
      </c>
      <c r="B269" s="18" t="s">
        <v>94</v>
      </c>
      <c r="C269" s="18" t="s">
        <v>158</v>
      </c>
      <c r="D269" s="18" t="s">
        <v>96</v>
      </c>
      <c r="E269" s="20" t="s">
        <v>378</v>
      </c>
      <c r="F269" s="52" t="s">
        <v>123</v>
      </c>
      <c r="G269" s="52"/>
      <c r="H269" s="22"/>
      <c r="I269" s="22"/>
      <c r="J269" s="22"/>
      <c r="K269" s="22"/>
      <c r="L269" s="20" t="s">
        <v>53</v>
      </c>
      <c r="M269" s="22"/>
      <c r="N269" s="22" t="s">
        <v>435</v>
      </c>
      <c r="O269" s="23" t="s">
        <v>436</v>
      </c>
      <c r="P269" s="18" t="s">
        <v>56</v>
      </c>
      <c r="Q269" s="72"/>
      <c r="R269" s="72"/>
      <c r="S269" s="25"/>
      <c r="T269" s="26"/>
      <c r="U269" s="26"/>
      <c r="V269" s="25">
        <v>200</v>
      </c>
      <c r="W269" s="26"/>
      <c r="X269" s="25"/>
      <c r="Y269" s="26">
        <f>T269+R269+Q269+U269+W269</f>
        <v>0</v>
      </c>
      <c r="Z269" s="27">
        <v>200</v>
      </c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>
        <f>SUM(AM269:AS269)</f>
        <v>0</v>
      </c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72">
        <f>Y269-AV269-AX269-AW269</f>
        <v>0</v>
      </c>
      <c r="AZ269" s="68"/>
      <c r="BA269" s="26">
        <f>AL269+AG269+AA269+AT269</f>
        <v>0</v>
      </c>
      <c r="BB269" s="30">
        <f>BD269+AO269+AG269</f>
        <v>0</v>
      </c>
      <c r="BC269" s="30">
        <f>BD269+AS269</f>
        <v>0</v>
      </c>
      <c r="BD269" s="30">
        <f>IF(BA269&gt;0,Y269-BA269,BA269)</f>
        <v>0</v>
      </c>
      <c r="BE269" s="31"/>
      <c r="BF269" s="30" t="s">
        <v>57</v>
      </c>
      <c r="BG269" s="31">
        <f>BE269*Q269</f>
        <v>0</v>
      </c>
      <c r="BH269" s="31">
        <f>BE269*R269*0.4</f>
        <v>0</v>
      </c>
      <c r="BI269" s="142"/>
      <c r="BJ269" s="142"/>
      <c r="BK269" s="32">
        <f>Y269*BE269</f>
        <v>0</v>
      </c>
      <c r="BL269" s="25"/>
      <c r="BM269" s="25"/>
      <c r="BN269" s="25"/>
      <c r="BO269" s="25"/>
      <c r="BP269" s="25">
        <f>BE269*AV269</f>
        <v>0</v>
      </c>
      <c r="BQ269" s="25">
        <f>BE269*AX269</f>
        <v>0</v>
      </c>
      <c r="BR269" s="26"/>
      <c r="BS269" s="32"/>
    </row>
    <row r="270" spans="1:71" s="6" customFormat="1" ht="41.25" customHeight="1">
      <c r="A270" s="18">
        <v>267</v>
      </c>
      <c r="B270" s="18" t="s">
        <v>94</v>
      </c>
      <c r="C270" s="18" t="s">
        <v>209</v>
      </c>
      <c r="D270" s="18" t="s">
        <v>96</v>
      </c>
      <c r="E270" s="20" t="s">
        <v>437</v>
      </c>
      <c r="F270" s="18" t="s">
        <v>209</v>
      </c>
      <c r="G270" s="34" t="s">
        <v>128</v>
      </c>
      <c r="H270" s="22"/>
      <c r="I270" s="22"/>
      <c r="J270" s="22"/>
      <c r="K270" s="22"/>
      <c r="L270" s="20" t="s">
        <v>53</v>
      </c>
      <c r="M270" s="22"/>
      <c r="N270" s="22" t="s">
        <v>438</v>
      </c>
      <c r="O270" s="23"/>
      <c r="P270" s="18" t="s">
        <v>56</v>
      </c>
      <c r="Q270" s="72"/>
      <c r="R270" s="72"/>
      <c r="S270" s="25"/>
      <c r="T270" s="26"/>
      <c r="U270" s="26"/>
      <c r="V270" s="25"/>
      <c r="W270" s="63">
        <v>2200</v>
      </c>
      <c r="X270" s="25"/>
      <c r="Y270" s="53">
        <f>T270+R270+Q270+U270+W270</f>
        <v>2200</v>
      </c>
      <c r="Z270" s="27">
        <v>200</v>
      </c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>
        <f>SUM(AM270:AS270)</f>
        <v>0</v>
      </c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9">
        <f>Y270-AV270-AX270-AW270</f>
        <v>2200</v>
      </c>
      <c r="AZ270" s="29">
        <f ca="1">'Layout for shadhous 1&amp;2'!C68</f>
        <v>2200</v>
      </c>
      <c r="BA270" s="26">
        <f>AL270+AG270+AA270+AT270</f>
        <v>0</v>
      </c>
      <c r="BB270" s="30">
        <f>BD270+AO270+AG270</f>
        <v>0</v>
      </c>
      <c r="BC270" s="30">
        <f>BD270+AS270</f>
        <v>0</v>
      </c>
      <c r="BD270" s="30">
        <f>IF(BA270&gt;0,Y270-BA270,BA270)</f>
        <v>0</v>
      </c>
      <c r="BE270" s="31"/>
      <c r="BF270" s="30" t="s">
        <v>57</v>
      </c>
      <c r="BG270" s="31">
        <f>BE270*Q270</f>
        <v>0</v>
      </c>
      <c r="BH270" s="31">
        <f>BE270*R270*0.4</f>
        <v>0</v>
      </c>
      <c r="BI270" s="142"/>
      <c r="BJ270" s="142"/>
      <c r="BK270" s="32">
        <f>Y270*BE270</f>
        <v>0</v>
      </c>
      <c r="BL270" s="25">
        <v>200</v>
      </c>
      <c r="BM270" s="25"/>
      <c r="BN270" s="25"/>
      <c r="BO270" s="25"/>
      <c r="BP270" s="25">
        <f>BE270*AV270</f>
        <v>0</v>
      </c>
      <c r="BQ270" s="25">
        <f>BE270*AX270</f>
        <v>0</v>
      </c>
      <c r="BR270" s="26">
        <f>659+293+733</f>
        <v>1685</v>
      </c>
      <c r="BS270" s="32"/>
    </row>
    <row r="271" spans="1:71" s="6" customFormat="1" ht="41.25" customHeight="1">
      <c r="A271" s="18">
        <v>268</v>
      </c>
      <c r="B271" s="50" t="s">
        <v>87</v>
      </c>
      <c r="C271" s="44" t="s">
        <v>172</v>
      </c>
      <c r="D271" s="47" t="s">
        <v>89</v>
      </c>
      <c r="E271" s="55" t="s">
        <v>280</v>
      </c>
      <c r="F271" s="71" t="s">
        <v>281</v>
      </c>
      <c r="G271" s="71"/>
      <c r="H271" s="50"/>
      <c r="I271" s="22" t="s">
        <v>129</v>
      </c>
      <c r="J271" s="22"/>
      <c r="K271" s="22"/>
      <c r="L271" s="20" t="s">
        <v>53</v>
      </c>
      <c r="M271" s="22"/>
      <c r="N271" s="22" t="s">
        <v>439</v>
      </c>
      <c r="O271" s="23" t="s">
        <v>440</v>
      </c>
      <c r="P271" s="18" t="s">
        <v>56</v>
      </c>
      <c r="Q271" s="29">
        <v>4</v>
      </c>
      <c r="R271" s="72"/>
      <c r="S271" s="25">
        <v>200</v>
      </c>
      <c r="T271" s="26"/>
      <c r="U271" s="26"/>
      <c r="V271" s="25"/>
      <c r="W271" s="26"/>
      <c r="X271" s="25"/>
      <c r="Y271" s="53">
        <f>T271+R271+Q271+U271+W271</f>
        <v>4</v>
      </c>
      <c r="Z271" s="27">
        <v>200</v>
      </c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>
        <f>SUM(AM271:AS271)</f>
        <v>0</v>
      </c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9">
        <f>Y271-AV271-AX271-AW271</f>
        <v>4</v>
      </c>
      <c r="AZ271" s="29"/>
      <c r="BA271" s="26">
        <f>AL271+AG271+AA271+AT271</f>
        <v>0</v>
      </c>
      <c r="BB271" s="30">
        <f>BD271+AO271+AG271</f>
        <v>0</v>
      </c>
      <c r="BC271" s="30">
        <f>BD271+AS271</f>
        <v>0</v>
      </c>
      <c r="BD271" s="30">
        <f>IF(BA271&gt;0,Y271-BA271,BA271)</f>
        <v>0</v>
      </c>
      <c r="BE271" s="31">
        <v>30</v>
      </c>
      <c r="BF271" s="30" t="s">
        <v>57</v>
      </c>
      <c r="BG271" s="31">
        <f>BE271*Q271</f>
        <v>120</v>
      </c>
      <c r="BH271" s="31">
        <f>BE271*R271*0.4</f>
        <v>0</v>
      </c>
      <c r="BI271" s="142"/>
      <c r="BJ271" s="142"/>
      <c r="BK271" s="32">
        <f>Y271*BE271</f>
        <v>120</v>
      </c>
      <c r="BL271" s="25"/>
      <c r="BM271" s="25"/>
      <c r="BN271" s="25"/>
      <c r="BO271" s="25"/>
      <c r="BP271" s="25">
        <f>BE271*AV271</f>
        <v>0</v>
      </c>
      <c r="BQ271" s="25">
        <f>BE271*AX271</f>
        <v>0</v>
      </c>
      <c r="BR271" s="26"/>
      <c r="BS271" s="32"/>
    </row>
    <row r="272" spans="1:71" s="6" customFormat="1" ht="41.25" customHeight="1">
      <c r="A272" s="18">
        <v>269</v>
      </c>
      <c r="B272" s="18" t="s">
        <v>87</v>
      </c>
      <c r="C272" s="65" t="s">
        <v>125</v>
      </c>
      <c r="D272" s="47" t="s">
        <v>89</v>
      </c>
      <c r="E272" s="20" t="s">
        <v>442</v>
      </c>
      <c r="F272" s="21" t="s">
        <v>443</v>
      </c>
      <c r="G272" s="21"/>
      <c r="H272" s="22"/>
      <c r="I272" s="22" t="s">
        <v>345</v>
      </c>
      <c r="J272" s="22">
        <v>320</v>
      </c>
      <c r="K272" s="22" t="s">
        <v>1169</v>
      </c>
      <c r="L272" s="20" t="s">
        <v>53</v>
      </c>
      <c r="M272" s="22"/>
      <c r="N272" s="22" t="s">
        <v>444</v>
      </c>
      <c r="O272" s="23" t="s">
        <v>445</v>
      </c>
      <c r="P272" s="18" t="s">
        <v>56</v>
      </c>
      <c r="Q272" s="72"/>
      <c r="R272" s="72"/>
      <c r="S272" s="25">
        <v>100</v>
      </c>
      <c r="T272" s="26"/>
      <c r="U272" s="26"/>
      <c r="V272" s="25"/>
      <c r="W272" s="26"/>
      <c r="X272" s="25"/>
      <c r="Y272" s="26">
        <f>T272+R272+Q272+U272+W272</f>
        <v>0</v>
      </c>
      <c r="Z272" s="27">
        <v>100</v>
      </c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>
        <f>SUM(AM272:AS272)</f>
        <v>0</v>
      </c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72">
        <f>Y272-AV272-AX272-AW272</f>
        <v>0</v>
      </c>
      <c r="AZ272" s="68"/>
      <c r="BA272" s="26">
        <f>AL272+AG272+AA272+AT272</f>
        <v>0</v>
      </c>
      <c r="BB272" s="30">
        <f>BD272+AO272+AG272</f>
        <v>0</v>
      </c>
      <c r="BC272" s="30">
        <f>BD272+AS272</f>
        <v>0</v>
      </c>
      <c r="BD272" s="30">
        <f>IF(BA272&gt;0,Y272-BA272,BA272)</f>
        <v>0</v>
      </c>
      <c r="BE272" s="31">
        <v>3.75</v>
      </c>
      <c r="BF272" s="30" t="s">
        <v>57</v>
      </c>
      <c r="BG272" s="31">
        <f>BE272*Q272</f>
        <v>0</v>
      </c>
      <c r="BH272" s="31">
        <f>BE272*R272*0.4</f>
        <v>0</v>
      </c>
      <c r="BI272" s="31"/>
      <c r="BJ272" s="31"/>
      <c r="BK272" s="32">
        <f>Y272*BE272</f>
        <v>0</v>
      </c>
      <c r="BL272" s="25"/>
      <c r="BM272" s="25"/>
      <c r="BN272" s="25"/>
      <c r="BO272" s="25"/>
      <c r="BP272" s="25">
        <f>BE272*AV272</f>
        <v>0</v>
      </c>
      <c r="BQ272" s="25">
        <f>BE272*AX272</f>
        <v>0</v>
      </c>
      <c r="BR272" s="26"/>
      <c r="BS272" s="32"/>
    </row>
    <row r="273" spans="1:71" s="6" customFormat="1" ht="41.25" customHeight="1">
      <c r="A273" s="18">
        <v>270</v>
      </c>
      <c r="B273" s="18" t="s">
        <v>87</v>
      </c>
      <c r="C273" s="18" t="s">
        <v>88</v>
      </c>
      <c r="D273" s="47" t="s">
        <v>89</v>
      </c>
      <c r="E273" s="22" t="s">
        <v>446</v>
      </c>
      <c r="F273" s="36" t="s">
        <v>70</v>
      </c>
      <c r="G273" s="36"/>
      <c r="H273" s="22"/>
      <c r="I273" s="37" t="s">
        <v>447</v>
      </c>
      <c r="J273" s="22">
        <v>320</v>
      </c>
      <c r="K273" s="22" t="s">
        <v>622</v>
      </c>
      <c r="L273" s="22"/>
      <c r="M273" s="22"/>
      <c r="N273" s="22" t="s">
        <v>448</v>
      </c>
      <c r="O273" s="23" t="s">
        <v>449</v>
      </c>
      <c r="P273" s="18" t="s">
        <v>56</v>
      </c>
      <c r="Q273" s="72"/>
      <c r="R273" s="72"/>
      <c r="S273" s="25">
        <v>10</v>
      </c>
      <c r="T273" s="26"/>
      <c r="U273" s="26"/>
      <c r="V273" s="25"/>
      <c r="W273" s="26"/>
      <c r="X273" s="25"/>
      <c r="Y273" s="26">
        <f>T273+R273+Q273+U273+W273</f>
        <v>0</v>
      </c>
      <c r="Z273" s="27">
        <v>10</v>
      </c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>
        <f>SUM(AM273:AS273)</f>
        <v>0</v>
      </c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72">
        <f>Y273-AV273-AX273-AW273</f>
        <v>0</v>
      </c>
      <c r="AZ273" s="68"/>
      <c r="BA273" s="26">
        <f>AL273+AG273+AA273+AT273</f>
        <v>0</v>
      </c>
      <c r="BB273" s="30">
        <f>BD273+AO273+AG273</f>
        <v>0</v>
      </c>
      <c r="BC273" s="30">
        <f>BD273+AS273</f>
        <v>0</v>
      </c>
      <c r="BD273" s="30">
        <f>IF(BA273&gt;0,Y273-BA273,BA273)</f>
        <v>0</v>
      </c>
      <c r="BE273" s="31">
        <v>690</v>
      </c>
      <c r="BF273" s="30" t="s">
        <v>57</v>
      </c>
      <c r="BG273" s="31">
        <f>BE273*Q273</f>
        <v>0</v>
      </c>
      <c r="BH273" s="31">
        <f>BE273*R273*0.4</f>
        <v>0</v>
      </c>
      <c r="BI273" s="142"/>
      <c r="BJ273" s="142"/>
      <c r="BK273" s="32">
        <f>Y273*BE273</f>
        <v>0</v>
      </c>
      <c r="BL273" s="25"/>
      <c r="BM273" s="25"/>
      <c r="BN273" s="25"/>
      <c r="BO273" s="25"/>
      <c r="BP273" s="25">
        <f>BE273*AV273</f>
        <v>0</v>
      </c>
      <c r="BQ273" s="25">
        <f>BE273*AX273</f>
        <v>0</v>
      </c>
      <c r="BR273" s="26"/>
      <c r="BS273" s="32"/>
    </row>
    <row r="274" spans="1:71" s="6" customFormat="1" ht="41.25" customHeight="1">
      <c r="A274" s="18">
        <v>271</v>
      </c>
      <c r="B274" s="18" t="s">
        <v>94</v>
      </c>
      <c r="C274" s="18" t="s">
        <v>144</v>
      </c>
      <c r="D274" s="18" t="s">
        <v>96</v>
      </c>
      <c r="E274" s="20" t="s">
        <v>450</v>
      </c>
      <c r="F274" s="58" t="s">
        <v>146</v>
      </c>
      <c r="G274" s="58"/>
      <c r="H274" s="22"/>
      <c r="I274" s="22"/>
      <c r="J274" s="22">
        <v>200</v>
      </c>
      <c r="K274" s="22" t="s">
        <v>1184</v>
      </c>
      <c r="L274" s="20" t="s">
        <v>53</v>
      </c>
      <c r="M274" s="22"/>
      <c r="N274" s="22" t="s">
        <v>451</v>
      </c>
      <c r="O274" s="23"/>
      <c r="P274" s="18" t="s">
        <v>56</v>
      </c>
      <c r="Q274" s="72"/>
      <c r="R274" s="72"/>
      <c r="S274" s="25">
        <v>60</v>
      </c>
      <c r="T274" s="26"/>
      <c r="U274" s="26"/>
      <c r="V274" s="25">
        <v>60</v>
      </c>
      <c r="W274" s="26"/>
      <c r="X274" s="25">
        <v>60</v>
      </c>
      <c r="Y274" s="26">
        <f>T274+R274+Q274+U274+W274</f>
        <v>0</v>
      </c>
      <c r="Z274" s="27">
        <v>420</v>
      </c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>
        <f>SUM(AM274:AS274)</f>
        <v>0</v>
      </c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72">
        <f>Y274-AV274-AX274-AW274</f>
        <v>0</v>
      </c>
      <c r="AZ274" s="68"/>
      <c r="BA274" s="26">
        <f>AL274+AG274+AA274+AT274</f>
        <v>0</v>
      </c>
      <c r="BB274" s="30">
        <f>BD274+AO274+AG274</f>
        <v>0</v>
      </c>
      <c r="BC274" s="30">
        <f>BD274+AS274</f>
        <v>0</v>
      </c>
      <c r="BD274" s="30">
        <f>IF(BA274&gt;0,Y274-BA274,BA274)</f>
        <v>0</v>
      </c>
      <c r="BE274" s="31">
        <v>162</v>
      </c>
      <c r="BF274" s="30" t="s">
        <v>57</v>
      </c>
      <c r="BG274" s="31">
        <f>BE274*Q274</f>
        <v>0</v>
      </c>
      <c r="BH274" s="31">
        <f>BE274*R274*0.4</f>
        <v>0</v>
      </c>
      <c r="BI274" s="142"/>
      <c r="BJ274" s="142"/>
      <c r="BK274" s="32">
        <f>Y274*BE274</f>
        <v>0</v>
      </c>
      <c r="BL274" s="25">
        <v>60</v>
      </c>
      <c r="BM274" s="25">
        <v>60</v>
      </c>
      <c r="BN274" s="25">
        <v>60</v>
      </c>
      <c r="BO274" s="25">
        <v>60</v>
      </c>
      <c r="BP274" s="25">
        <f>BE274*AV274</f>
        <v>0</v>
      </c>
      <c r="BQ274" s="25">
        <f>BE274*AX274</f>
        <v>0</v>
      </c>
      <c r="BR274" s="26"/>
      <c r="BS274" s="32"/>
    </row>
    <row r="275" spans="1:71" s="6" customFormat="1" ht="41.25" customHeight="1">
      <c r="A275" s="18">
        <v>272</v>
      </c>
      <c r="B275" s="18" t="s">
        <v>94</v>
      </c>
      <c r="C275" s="18" t="s">
        <v>158</v>
      </c>
      <c r="D275" s="18" t="s">
        <v>96</v>
      </c>
      <c r="E275" s="20" t="s">
        <v>378</v>
      </c>
      <c r="F275" s="52" t="s">
        <v>123</v>
      </c>
      <c r="G275" s="52"/>
      <c r="H275" s="22"/>
      <c r="I275" s="22"/>
      <c r="J275" s="22">
        <v>180</v>
      </c>
      <c r="K275" s="22" t="s">
        <v>196</v>
      </c>
      <c r="L275" s="20" t="s">
        <v>53</v>
      </c>
      <c r="M275" s="22"/>
      <c r="N275" s="22" t="s">
        <v>452</v>
      </c>
      <c r="O275" s="23"/>
      <c r="P275" s="18" t="s">
        <v>56</v>
      </c>
      <c r="Q275" s="72"/>
      <c r="R275" s="72"/>
      <c r="S275" s="25"/>
      <c r="T275" s="26"/>
      <c r="U275" s="26"/>
      <c r="V275" s="25"/>
      <c r="W275" s="26"/>
      <c r="X275" s="25">
        <v>200</v>
      </c>
      <c r="Y275" s="26">
        <f>T275+R275+Q275+U275+W275</f>
        <v>0</v>
      </c>
      <c r="Z275" s="27">
        <v>200</v>
      </c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>
        <f>SUM(AM275:AS275)</f>
        <v>0</v>
      </c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72">
        <f>Y275-AV275-AX275-AW275</f>
        <v>0</v>
      </c>
      <c r="AZ275" s="68"/>
      <c r="BA275" s="26">
        <f>AL275+AG275+AA275+AT275</f>
        <v>0</v>
      </c>
      <c r="BB275" s="30">
        <f>BD275+AO275+AG275</f>
        <v>0</v>
      </c>
      <c r="BC275" s="30">
        <f>BD275+AS275</f>
        <v>0</v>
      </c>
      <c r="BD275" s="30">
        <f>IF(BA275&gt;0,Y275-BA275,BA275)</f>
        <v>0</v>
      </c>
      <c r="BE275" s="31"/>
      <c r="BF275" s="30" t="s">
        <v>57</v>
      </c>
      <c r="BG275" s="31">
        <f>BE275*Q275</f>
        <v>0</v>
      </c>
      <c r="BH275" s="31">
        <f>BE275*R275*0.4</f>
        <v>0</v>
      </c>
      <c r="BI275" s="142"/>
      <c r="BJ275" s="142"/>
      <c r="BK275" s="32">
        <f>Y275*BE275</f>
        <v>0</v>
      </c>
      <c r="BL275" s="25"/>
      <c r="BM275" s="25"/>
      <c r="BN275" s="25"/>
      <c r="BO275" s="25"/>
      <c r="BP275" s="25">
        <f>BE275*AV275</f>
        <v>0</v>
      </c>
      <c r="BQ275" s="25">
        <f>BE275*AX275</f>
        <v>0</v>
      </c>
      <c r="BR275" s="26"/>
      <c r="BS275" s="32"/>
    </row>
    <row r="276" spans="1:71" s="6" customFormat="1" ht="41.25" customHeight="1">
      <c r="A276" s="18">
        <v>273</v>
      </c>
      <c r="B276" s="18" t="s">
        <v>94</v>
      </c>
      <c r="C276" s="18" t="s">
        <v>215</v>
      </c>
      <c r="D276" s="18" t="s">
        <v>96</v>
      </c>
      <c r="E276" s="20" t="s">
        <v>216</v>
      </c>
      <c r="F276" s="21" t="s">
        <v>52</v>
      </c>
      <c r="G276" s="21"/>
      <c r="H276" s="22"/>
      <c r="I276" s="22"/>
      <c r="J276" s="22"/>
      <c r="K276" s="22"/>
      <c r="L276" s="20" t="s">
        <v>53</v>
      </c>
      <c r="M276" s="22"/>
      <c r="N276" s="22" t="s">
        <v>453</v>
      </c>
      <c r="O276" s="23" t="s">
        <v>454</v>
      </c>
      <c r="P276" s="18" t="s">
        <v>56</v>
      </c>
      <c r="Q276" s="72"/>
      <c r="R276" s="72"/>
      <c r="S276" s="25"/>
      <c r="T276" s="26"/>
      <c r="U276" s="26"/>
      <c r="V276" s="25">
        <v>200</v>
      </c>
      <c r="W276" s="26"/>
      <c r="X276" s="25"/>
      <c r="Y276" s="26">
        <f>T276+R276+Q276+U276+W276</f>
        <v>0</v>
      </c>
      <c r="Z276" s="27">
        <v>200</v>
      </c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>
        <f>SUM(AM276:AS276)</f>
        <v>0</v>
      </c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72">
        <f>Y276-AV276-AX276-AW276</f>
        <v>0</v>
      </c>
      <c r="AZ276" s="68"/>
      <c r="BA276" s="26">
        <f>AL276+AG276+AA276+AT276</f>
        <v>0</v>
      </c>
      <c r="BB276" s="30">
        <f>BD276+AO276+AG276</f>
        <v>0</v>
      </c>
      <c r="BC276" s="30">
        <f>BD276+AS276</f>
        <v>0</v>
      </c>
      <c r="BD276" s="30">
        <f>IF(BA276&gt;0,Y276-BA276,BA276)</f>
        <v>0</v>
      </c>
      <c r="BE276" s="31"/>
      <c r="BF276" s="30" t="s">
        <v>57</v>
      </c>
      <c r="BG276" s="31">
        <f>BE276*Q276</f>
        <v>0</v>
      </c>
      <c r="BH276" s="31">
        <f>BE276*R276*0.4</f>
        <v>0</v>
      </c>
      <c r="BI276" s="142"/>
      <c r="BJ276" s="142"/>
      <c r="BK276" s="32">
        <f>Y276*BE276</f>
        <v>0</v>
      </c>
      <c r="BL276" s="25"/>
      <c r="BM276" s="25"/>
      <c r="BN276" s="25"/>
      <c r="BO276" s="25"/>
      <c r="BP276" s="25">
        <f>BE276*AV276</f>
        <v>0</v>
      </c>
      <c r="BQ276" s="25">
        <f>BE276*AX276</f>
        <v>0</v>
      </c>
      <c r="BR276" s="26"/>
      <c r="BS276" s="32"/>
    </row>
    <row r="277" spans="1:71" s="6" customFormat="1" ht="41.25" customHeight="1">
      <c r="A277" s="18">
        <v>274</v>
      </c>
      <c r="B277" s="18" t="s">
        <v>94</v>
      </c>
      <c r="C277" s="18" t="s">
        <v>121</v>
      </c>
      <c r="D277" s="18" t="s">
        <v>96</v>
      </c>
      <c r="E277" s="22" t="s">
        <v>334</v>
      </c>
      <c r="F277" s="52" t="s">
        <v>123</v>
      </c>
      <c r="G277" s="52"/>
      <c r="H277" s="22"/>
      <c r="I277" s="22"/>
      <c r="J277" s="22"/>
      <c r="K277" s="22" t="s">
        <v>1196</v>
      </c>
      <c r="L277" s="22"/>
      <c r="M277" s="22"/>
      <c r="N277" s="22" t="s">
        <v>455</v>
      </c>
      <c r="O277" s="23"/>
      <c r="P277" s="38" t="s">
        <v>56</v>
      </c>
      <c r="Q277" s="29">
        <v>32</v>
      </c>
      <c r="R277" s="72"/>
      <c r="S277" s="40">
        <v>40</v>
      </c>
      <c r="T277" s="26"/>
      <c r="U277" s="26"/>
      <c r="V277" s="25">
        <v>40</v>
      </c>
      <c r="W277" s="26"/>
      <c r="X277" s="25">
        <v>40</v>
      </c>
      <c r="Y277" s="53">
        <f>T277+R277+Q277+U277+W277</f>
        <v>32</v>
      </c>
      <c r="Z277" s="27">
        <v>280</v>
      </c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>
        <f>SUM(AM277:AS277)</f>
        <v>0</v>
      </c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9">
        <f>Y277-AV277-AX277-AW277</f>
        <v>32</v>
      </c>
      <c r="AZ277" s="29">
        <f>'Layout for shadhous 3'!E65</f>
        <v>32</v>
      </c>
      <c r="BA277" s="26">
        <f>AL277+AG277+AA277+AT277</f>
        <v>0</v>
      </c>
      <c r="BB277" s="30">
        <f>BD277+AO277+AG277</f>
        <v>0</v>
      </c>
      <c r="BC277" s="30">
        <f>BD277+AS277</f>
        <v>0</v>
      </c>
      <c r="BD277" s="30">
        <f>IF(BA277&gt;0,Y277-BA277,BA277)</f>
        <v>0</v>
      </c>
      <c r="BE277" s="31">
        <v>3</v>
      </c>
      <c r="BF277" s="30" t="s">
        <v>57</v>
      </c>
      <c r="BG277" s="31">
        <f>BE277*Q277</f>
        <v>96</v>
      </c>
      <c r="BH277" s="31">
        <f>BE277*R277*0.4</f>
        <v>0</v>
      </c>
      <c r="BI277" s="31"/>
      <c r="BJ277" s="31"/>
      <c r="BK277" s="68">
        <f>Y277*BE277</f>
        <v>96</v>
      </c>
      <c r="BL277" s="25">
        <v>40</v>
      </c>
      <c r="BM277" s="25">
        <v>40</v>
      </c>
      <c r="BN277" s="25">
        <v>40</v>
      </c>
      <c r="BO277" s="25">
        <v>40</v>
      </c>
      <c r="BP277" s="25">
        <f>BE277*AV277</f>
        <v>0</v>
      </c>
      <c r="BQ277" s="25">
        <f>BE277*AX277</f>
        <v>0</v>
      </c>
      <c r="BR277" s="26"/>
      <c r="BS277" s="32"/>
    </row>
    <row r="278" spans="1:71" s="6" customFormat="1" ht="41.25" customHeight="1">
      <c r="A278" s="18">
        <v>275</v>
      </c>
      <c r="B278" s="18" t="s">
        <v>94</v>
      </c>
      <c r="C278" s="18" t="s">
        <v>200</v>
      </c>
      <c r="D278" s="18" t="s">
        <v>96</v>
      </c>
      <c r="E278" s="22" t="s">
        <v>456</v>
      </c>
      <c r="F278" s="48" t="s">
        <v>98</v>
      </c>
      <c r="G278" s="48"/>
      <c r="H278" s="22"/>
      <c r="I278" s="22"/>
      <c r="J278" s="22"/>
      <c r="K278" s="22"/>
      <c r="L278" s="22"/>
      <c r="M278" s="22"/>
      <c r="N278" s="22" t="s">
        <v>457</v>
      </c>
      <c r="O278" s="23"/>
      <c r="P278" s="18" t="s">
        <v>56</v>
      </c>
      <c r="Q278" s="72"/>
      <c r="R278" s="72"/>
      <c r="S278" s="25">
        <v>40</v>
      </c>
      <c r="T278" s="26"/>
      <c r="U278" s="26"/>
      <c r="V278" s="25">
        <v>40</v>
      </c>
      <c r="W278" s="26"/>
      <c r="X278" s="25"/>
      <c r="Y278" s="26">
        <f>T278+R278+Q278+U278+W278</f>
        <v>0</v>
      </c>
      <c r="Z278" s="27">
        <v>280</v>
      </c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>
        <f>SUM(AM278:AS278)</f>
        <v>0</v>
      </c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72">
        <f>Y278-AV278-AX278-AW278</f>
        <v>0</v>
      </c>
      <c r="AZ278" s="68"/>
      <c r="BA278" s="26">
        <f>AL278+AG278+AA278+AT278</f>
        <v>0</v>
      </c>
      <c r="BB278" s="30">
        <f>BD278+AO278+AG278</f>
        <v>0</v>
      </c>
      <c r="BC278" s="30">
        <f>BD278+AS278</f>
        <v>0</v>
      </c>
      <c r="BD278" s="30">
        <f>IF(BA278&gt;0,Y278-BA278,BA278)</f>
        <v>0</v>
      </c>
      <c r="BE278" s="31">
        <v>8</v>
      </c>
      <c r="BF278" s="30" t="s">
        <v>57</v>
      </c>
      <c r="BG278" s="31">
        <f>BE278*Q278</f>
        <v>0</v>
      </c>
      <c r="BH278" s="31">
        <f>BE278*R278*0.4</f>
        <v>0</v>
      </c>
      <c r="BI278" s="31"/>
      <c r="BJ278" s="31"/>
      <c r="BK278" s="32">
        <f>Y278*BE278</f>
        <v>0</v>
      </c>
      <c r="BL278" s="25"/>
      <c r="BM278" s="25">
        <v>200</v>
      </c>
      <c r="BN278" s="25"/>
      <c r="BO278" s="25"/>
      <c r="BP278" s="25">
        <f>BE278*AV278</f>
        <v>0</v>
      </c>
      <c r="BQ278" s="25">
        <f>BE278*AX278</f>
        <v>0</v>
      </c>
      <c r="BR278" s="26"/>
      <c r="BS278" s="32"/>
    </row>
    <row r="279" spans="1:71" s="6" customFormat="1" ht="41.25" customHeight="1">
      <c r="A279" s="18">
        <v>276</v>
      </c>
      <c r="B279" s="18" t="s">
        <v>94</v>
      </c>
      <c r="C279" s="66" t="s">
        <v>158</v>
      </c>
      <c r="D279" s="18" t="s">
        <v>96</v>
      </c>
      <c r="E279" s="20" t="s">
        <v>378</v>
      </c>
      <c r="F279" s="52" t="s">
        <v>123</v>
      </c>
      <c r="G279" s="52"/>
      <c r="H279" s="50"/>
      <c r="I279" s="50"/>
      <c r="J279" s="22"/>
      <c r="K279" s="22"/>
      <c r="L279" s="20" t="s">
        <v>53</v>
      </c>
      <c r="M279" s="22"/>
      <c r="N279" s="22" t="s">
        <v>458</v>
      </c>
      <c r="O279" s="23"/>
      <c r="P279" s="18" t="s">
        <v>56</v>
      </c>
      <c r="Q279" s="72"/>
      <c r="R279" s="72"/>
      <c r="S279" s="25"/>
      <c r="T279" s="26"/>
      <c r="U279" s="26"/>
      <c r="V279" s="25"/>
      <c r="W279" s="26"/>
      <c r="X279" s="25"/>
      <c r="Y279" s="26">
        <f>T279+R279+Q279+U279+W279</f>
        <v>0</v>
      </c>
      <c r="Z279" s="27">
        <v>200</v>
      </c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>
        <f>SUM(AM279:AS279)</f>
        <v>0</v>
      </c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72">
        <f>Y279-AV279-AX279-AW279</f>
        <v>0</v>
      </c>
      <c r="AZ279" s="68"/>
      <c r="BA279" s="26">
        <f>AL279+AG279+AA279+AT279</f>
        <v>0</v>
      </c>
      <c r="BB279" s="30">
        <f>BD279+AO279+AG279</f>
        <v>0</v>
      </c>
      <c r="BC279" s="30">
        <f>BD279+AS279</f>
        <v>0</v>
      </c>
      <c r="BD279" s="30">
        <f>IF(BA279&gt;0,Y279-BA279,BA279)</f>
        <v>0</v>
      </c>
      <c r="BE279" s="31"/>
      <c r="BF279" s="30" t="s">
        <v>57</v>
      </c>
      <c r="BG279" s="31">
        <f>BE279*Q279</f>
        <v>0</v>
      </c>
      <c r="BH279" s="31">
        <f>BE279*R279*0.4</f>
        <v>0</v>
      </c>
      <c r="BI279" s="31"/>
      <c r="BJ279" s="31"/>
      <c r="BK279" s="32">
        <f>Y279*BE279</f>
        <v>0</v>
      </c>
      <c r="BL279" s="25">
        <v>200</v>
      </c>
      <c r="BM279" s="25"/>
      <c r="BN279" s="25"/>
      <c r="BO279" s="25"/>
      <c r="BP279" s="25">
        <f>BE279*AV279</f>
        <v>0</v>
      </c>
      <c r="BQ279" s="25">
        <f>BE279*AX279</f>
        <v>0</v>
      </c>
      <c r="BR279" s="26"/>
      <c r="BS279" s="32"/>
    </row>
    <row r="280" spans="1:71" s="6" customFormat="1" ht="41.25" customHeight="1">
      <c r="A280" s="18">
        <v>277</v>
      </c>
      <c r="B280" s="50" t="s">
        <v>94</v>
      </c>
      <c r="C280" s="44" t="s">
        <v>459</v>
      </c>
      <c r="D280" s="18" t="s">
        <v>96</v>
      </c>
      <c r="E280" s="20" t="s">
        <v>277</v>
      </c>
      <c r="F280" s="48" t="s">
        <v>98</v>
      </c>
      <c r="G280" s="48"/>
      <c r="H280" s="50"/>
      <c r="I280" s="50"/>
      <c r="J280" s="22"/>
      <c r="K280" s="22"/>
      <c r="L280" s="20" t="s">
        <v>53</v>
      </c>
      <c r="M280" s="22"/>
      <c r="N280" s="22" t="s">
        <v>460</v>
      </c>
      <c r="O280" s="23"/>
      <c r="P280" s="18" t="s">
        <v>56</v>
      </c>
      <c r="Q280" s="72"/>
      <c r="R280" s="72"/>
      <c r="S280" s="25"/>
      <c r="T280" s="26"/>
      <c r="U280" s="26"/>
      <c r="V280" s="25"/>
      <c r="W280" s="26"/>
      <c r="X280" s="25">
        <v>60</v>
      </c>
      <c r="Y280" s="26">
        <f>T280+R280+Q280+U280+W280</f>
        <v>0</v>
      </c>
      <c r="Z280" s="27">
        <v>200</v>
      </c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>
        <f>SUM(AM280:AS280)</f>
        <v>0</v>
      </c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72">
        <f>Y280-AV280-AX280-AW280</f>
        <v>0</v>
      </c>
      <c r="AZ280" s="68"/>
      <c r="BA280" s="26">
        <f>AL280+AG280+AA280+AT280</f>
        <v>0</v>
      </c>
      <c r="BB280" s="30">
        <f>BD280+AO280+AG280</f>
        <v>0</v>
      </c>
      <c r="BC280" s="30">
        <f>BD280+AS280</f>
        <v>0</v>
      </c>
      <c r="BD280" s="30">
        <f>IF(BA280&gt;0,Y280-BA280,BA280)</f>
        <v>0</v>
      </c>
      <c r="BE280" s="31"/>
      <c r="BF280" s="30" t="s">
        <v>57</v>
      </c>
      <c r="BG280" s="31">
        <f>BE280*Q280</f>
        <v>0</v>
      </c>
      <c r="BH280" s="31">
        <f>BE280*R280*0.4</f>
        <v>0</v>
      </c>
      <c r="BI280" s="142"/>
      <c r="BJ280" s="142"/>
      <c r="BK280" s="32">
        <f>Y280*BE280</f>
        <v>0</v>
      </c>
      <c r="BL280" s="25">
        <v>60</v>
      </c>
      <c r="BM280" s="25">
        <v>60</v>
      </c>
      <c r="BN280" s="25">
        <v>60</v>
      </c>
      <c r="BO280" s="25">
        <v>60</v>
      </c>
      <c r="BP280" s="25">
        <f>BE280*AV280</f>
        <v>0</v>
      </c>
      <c r="BQ280" s="25">
        <f>BE280*AX280</f>
        <v>0</v>
      </c>
      <c r="BR280" s="26"/>
      <c r="BS280" s="32"/>
    </row>
    <row r="281" spans="1:71" s="6" customFormat="1" ht="41.25" customHeight="1">
      <c r="A281" s="18">
        <v>278</v>
      </c>
      <c r="B281" s="18" t="s">
        <v>94</v>
      </c>
      <c r="C281" s="18" t="s">
        <v>95</v>
      </c>
      <c r="D281" s="18" t="s">
        <v>96</v>
      </c>
      <c r="E281" s="22" t="s">
        <v>461</v>
      </c>
      <c r="F281" s="48" t="s">
        <v>98</v>
      </c>
      <c r="G281" s="48"/>
      <c r="H281" s="22"/>
      <c r="I281" s="22"/>
      <c r="J281" s="22"/>
      <c r="K281" s="22"/>
      <c r="L281" s="22"/>
      <c r="M281" s="22"/>
      <c r="N281" s="22" t="s">
        <v>462</v>
      </c>
      <c r="O281" s="23"/>
      <c r="P281" s="18" t="s">
        <v>56</v>
      </c>
      <c r="Q281" s="72"/>
      <c r="R281" s="72"/>
      <c r="S281" s="25">
        <v>60</v>
      </c>
      <c r="T281" s="26"/>
      <c r="U281" s="26"/>
      <c r="V281" s="25">
        <v>60</v>
      </c>
      <c r="W281" s="26"/>
      <c r="X281" s="25">
        <v>20</v>
      </c>
      <c r="Y281" s="26">
        <f>T281+R281+Q281+U281+W281</f>
        <v>0</v>
      </c>
      <c r="Z281" s="27">
        <v>420</v>
      </c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41">
        <f>SUM(AM281:AS281)</f>
        <v>344</v>
      </c>
      <c r="AM281" s="26"/>
      <c r="AN281" s="49">
        <v>0</v>
      </c>
      <c r="AO281" s="49">
        <v>344</v>
      </c>
      <c r="AP281" s="49"/>
      <c r="AQ281" s="49"/>
      <c r="AR281" s="49"/>
      <c r="AS281" s="49"/>
      <c r="AT281" s="26"/>
      <c r="AU281" s="26"/>
      <c r="AV281" s="26"/>
      <c r="AW281" s="26"/>
      <c r="AX281" s="26"/>
      <c r="AY281" s="72">
        <f>Y281-AV281-AX281-AW281</f>
        <v>0</v>
      </c>
      <c r="AZ281" s="68"/>
      <c r="BA281" s="26">
        <f>AL281+AG281+AA281+AT281</f>
        <v>344</v>
      </c>
      <c r="BB281" s="30">
        <f>BD281+AO281+AG281</f>
        <v>0</v>
      </c>
      <c r="BC281" s="30">
        <f>BD281+AS281</f>
        <v>-344</v>
      </c>
      <c r="BD281" s="30">
        <f>IF(BA281&gt;0,Y281-BA281,BA281)</f>
        <v>-344</v>
      </c>
      <c r="BE281" s="31">
        <v>5</v>
      </c>
      <c r="BF281" s="30" t="s">
        <v>57</v>
      </c>
      <c r="BG281" s="31">
        <f>BE281*Q281</f>
        <v>0</v>
      </c>
      <c r="BH281" s="31">
        <f>BE281*R281*0.4</f>
        <v>0</v>
      </c>
      <c r="BI281" s="142"/>
      <c r="BJ281" s="142"/>
      <c r="BK281" s="32">
        <f>Y281*BE281</f>
        <v>0</v>
      </c>
      <c r="BL281" s="25">
        <v>20</v>
      </c>
      <c r="BM281" s="25">
        <v>20</v>
      </c>
      <c r="BN281" s="25">
        <v>20</v>
      </c>
      <c r="BO281" s="25">
        <v>20</v>
      </c>
      <c r="BP281" s="25">
        <f>BE281*AV281</f>
        <v>0</v>
      </c>
      <c r="BQ281" s="25">
        <f>BE281*AX281</f>
        <v>0</v>
      </c>
      <c r="BR281" s="26"/>
      <c r="BS281" s="32"/>
    </row>
    <row r="282" spans="1:71" s="6" customFormat="1" ht="41.25" customHeight="1">
      <c r="A282" s="18">
        <v>279</v>
      </c>
      <c r="B282" s="46"/>
      <c r="C282" s="18" t="s">
        <v>139</v>
      </c>
      <c r="D282" s="18" t="s">
        <v>96</v>
      </c>
      <c r="E282" s="55" t="s">
        <v>277</v>
      </c>
      <c r="F282" s="52" t="s">
        <v>123</v>
      </c>
      <c r="G282" s="52"/>
      <c r="H282" s="50"/>
      <c r="I282" s="50"/>
      <c r="J282" s="22"/>
      <c r="K282" s="22"/>
      <c r="L282" s="20" t="s">
        <v>53</v>
      </c>
      <c r="M282" s="22"/>
      <c r="N282" s="22" t="s">
        <v>463</v>
      </c>
      <c r="O282" s="23"/>
      <c r="P282" s="18" t="s">
        <v>56</v>
      </c>
      <c r="Q282" s="146"/>
      <c r="R282" s="146"/>
      <c r="S282" s="25"/>
      <c r="T282" s="26"/>
      <c r="U282" s="26"/>
      <c r="V282" s="25"/>
      <c r="W282" s="26"/>
      <c r="X282" s="25"/>
      <c r="Y282" s="26">
        <f>T282+R282+Q282+U282+W282</f>
        <v>0</v>
      </c>
      <c r="Z282" s="27">
        <v>200</v>
      </c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>
        <f>SUM(AM282:AS282)</f>
        <v>0</v>
      </c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72">
        <f>Y282-AV282-AX282-AW282</f>
        <v>0</v>
      </c>
      <c r="AZ282" s="68"/>
      <c r="BA282" s="26">
        <f>AL282+AG282+AA282+AT282</f>
        <v>0</v>
      </c>
      <c r="BB282" s="30">
        <f>BD282+AO282+AG282</f>
        <v>0</v>
      </c>
      <c r="BC282" s="30">
        <f>BD282+AS282</f>
        <v>0</v>
      </c>
      <c r="BD282" s="30">
        <f>IF(BA282&gt;0,Y282-BA282,BA282)</f>
        <v>0</v>
      </c>
      <c r="BE282" s="31"/>
      <c r="BF282" s="30" t="s">
        <v>57</v>
      </c>
      <c r="BG282" s="31">
        <f>BE282*Q282</f>
        <v>0</v>
      </c>
      <c r="BH282" s="31">
        <f>BE282*R282*0.4</f>
        <v>0</v>
      </c>
      <c r="BI282" s="142"/>
      <c r="BJ282" s="142"/>
      <c r="BK282" s="32">
        <f>Y282*BE282</f>
        <v>0</v>
      </c>
      <c r="BL282" s="25"/>
      <c r="BM282" s="25"/>
      <c r="BN282" s="25">
        <v>200</v>
      </c>
      <c r="BO282" s="25"/>
      <c r="BP282" s="25">
        <f>BE282*AV282</f>
        <v>0</v>
      </c>
      <c r="BQ282" s="25">
        <f>BE282*AX282</f>
        <v>0</v>
      </c>
      <c r="BR282" s="26"/>
      <c r="BS282" s="32"/>
    </row>
    <row r="283" spans="1:71" s="6" customFormat="1" ht="41.25" customHeight="1">
      <c r="A283" s="18">
        <v>280</v>
      </c>
      <c r="B283" s="50" t="s">
        <v>94</v>
      </c>
      <c r="C283" s="44" t="s">
        <v>209</v>
      </c>
      <c r="D283" s="18" t="s">
        <v>96</v>
      </c>
      <c r="E283" s="55" t="s">
        <v>437</v>
      </c>
      <c r="F283" s="44" t="s">
        <v>209</v>
      </c>
      <c r="G283" s="44"/>
      <c r="H283" s="50"/>
      <c r="I283" s="50"/>
      <c r="J283" s="22">
        <v>300</v>
      </c>
      <c r="K283" s="22" t="s">
        <v>1229</v>
      </c>
      <c r="L283" s="20" t="s">
        <v>53</v>
      </c>
      <c r="M283" s="22"/>
      <c r="N283" s="22" t="s">
        <v>464</v>
      </c>
      <c r="O283" s="23" t="s">
        <v>465</v>
      </c>
      <c r="P283" s="18" t="s">
        <v>56</v>
      </c>
      <c r="Q283" s="146"/>
      <c r="R283" s="146"/>
      <c r="S283" s="25"/>
      <c r="T283" s="26"/>
      <c r="U283" s="26"/>
      <c r="V283" s="25"/>
      <c r="W283" s="26"/>
      <c r="X283" s="25"/>
      <c r="Y283" s="26">
        <f>T283+R283+Q283+U283+W283</f>
        <v>0</v>
      </c>
      <c r="Z283" s="27">
        <v>200</v>
      </c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>
        <f>SUM(AM283:AS283)</f>
        <v>0</v>
      </c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72">
        <f>Y283-AV283-AX283-AW283</f>
        <v>0</v>
      </c>
      <c r="AZ283" s="68"/>
      <c r="BA283" s="26">
        <f>AL283+AG283+AA283+AT283</f>
        <v>0</v>
      </c>
      <c r="BB283" s="30">
        <f>BD283+AO283+AG283</f>
        <v>0</v>
      </c>
      <c r="BC283" s="30">
        <f>BD283+AS283</f>
        <v>0</v>
      </c>
      <c r="BD283" s="30">
        <f>IF(BA283&gt;0,Y283-BA283,BA283)</f>
        <v>0</v>
      </c>
      <c r="BE283" s="31">
        <v>6</v>
      </c>
      <c r="BF283" s="30" t="s">
        <v>57</v>
      </c>
      <c r="BG283" s="31">
        <f>BE283*Q283</f>
        <v>0</v>
      </c>
      <c r="BH283" s="31">
        <f>BE283*R283*0.4</f>
        <v>0</v>
      </c>
      <c r="BI283" s="142"/>
      <c r="BJ283" s="142"/>
      <c r="BK283" s="32">
        <f>Y283*BE283</f>
        <v>0</v>
      </c>
      <c r="BL283" s="25"/>
      <c r="BM283" s="25"/>
      <c r="BN283" s="25">
        <v>200</v>
      </c>
      <c r="BO283" s="25"/>
      <c r="BP283" s="25">
        <f>BE283*AV283</f>
        <v>0</v>
      </c>
      <c r="BQ283" s="25">
        <f>BE283*AX283</f>
        <v>0</v>
      </c>
      <c r="BR283" s="26"/>
      <c r="BS283" s="32"/>
    </row>
    <row r="284" spans="1:71" s="6" customFormat="1" ht="41.25" customHeight="1">
      <c r="A284" s="18">
        <v>281</v>
      </c>
      <c r="B284" s="18" t="s">
        <v>94</v>
      </c>
      <c r="C284" s="18" t="s">
        <v>158</v>
      </c>
      <c r="D284" s="18" t="s">
        <v>96</v>
      </c>
      <c r="E284" s="20" t="s">
        <v>378</v>
      </c>
      <c r="F284" s="52" t="s">
        <v>123</v>
      </c>
      <c r="G284" s="52"/>
      <c r="H284" s="22"/>
      <c r="I284" s="22"/>
      <c r="J284" s="22"/>
      <c r="K284" s="22"/>
      <c r="L284" s="20" t="s">
        <v>53</v>
      </c>
      <c r="M284" s="22"/>
      <c r="N284" s="22" t="s">
        <v>471</v>
      </c>
      <c r="O284" s="23" t="s">
        <v>472</v>
      </c>
      <c r="P284" s="18" t="s">
        <v>56</v>
      </c>
      <c r="Q284" s="72"/>
      <c r="R284" s="72"/>
      <c r="S284" s="25"/>
      <c r="T284" s="26"/>
      <c r="U284" s="26"/>
      <c r="V284" s="25"/>
      <c r="W284" s="26"/>
      <c r="X284" s="25"/>
      <c r="Y284" s="26">
        <f>T284+R284+Q284+U284+W284</f>
        <v>0</v>
      </c>
      <c r="Z284" s="27">
        <v>200</v>
      </c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>
        <f>SUM(AM284:AS284)</f>
        <v>0</v>
      </c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72">
        <f>Y284-AV284-AX284-AW284</f>
        <v>0</v>
      </c>
      <c r="AZ284" s="68"/>
      <c r="BA284" s="26">
        <f>AL284+AG284+AA284+AT284</f>
        <v>0</v>
      </c>
      <c r="BB284" s="30">
        <f>BD284+AO284+AG284</f>
        <v>0</v>
      </c>
      <c r="BC284" s="30">
        <f>BD284+AS284</f>
        <v>0</v>
      </c>
      <c r="BD284" s="30">
        <f>IF(BA284&gt;0,Y284-BA284,BA284)</f>
        <v>0</v>
      </c>
      <c r="BE284" s="31">
        <v>11</v>
      </c>
      <c r="BF284" s="30" t="s">
        <v>57</v>
      </c>
      <c r="BG284" s="31">
        <f>BE284*Q284</f>
        <v>0</v>
      </c>
      <c r="BH284" s="31">
        <f>BE284*R284*0.4</f>
        <v>0</v>
      </c>
      <c r="BI284" s="142"/>
      <c r="BJ284" s="142"/>
      <c r="BK284" s="32">
        <f>Y284*BE284</f>
        <v>0</v>
      </c>
      <c r="BL284" s="25"/>
      <c r="BM284" s="25">
        <v>200</v>
      </c>
      <c r="BN284" s="25"/>
      <c r="BO284" s="25"/>
      <c r="BP284" s="25">
        <f>BE284*AV284</f>
        <v>0</v>
      </c>
      <c r="BQ284" s="25">
        <f>BE284*AX284</f>
        <v>0</v>
      </c>
      <c r="BR284" s="28"/>
      <c r="BS284" s="32"/>
    </row>
    <row r="285" spans="1:71" s="6" customFormat="1" ht="41.25" customHeight="1">
      <c r="A285" s="18">
        <v>282</v>
      </c>
      <c r="B285" s="18" t="s">
        <v>87</v>
      </c>
      <c r="C285" s="18" t="s">
        <v>172</v>
      </c>
      <c r="D285" s="47" t="s">
        <v>89</v>
      </c>
      <c r="E285" s="22" t="s">
        <v>474</v>
      </c>
      <c r="F285" s="19" t="s">
        <v>197</v>
      </c>
      <c r="G285" s="19"/>
      <c r="H285" s="22"/>
      <c r="I285" s="22" t="s">
        <v>129</v>
      </c>
      <c r="J285" s="22">
        <v>320</v>
      </c>
      <c r="K285" s="22" t="s">
        <v>1265</v>
      </c>
      <c r="L285" s="22"/>
      <c r="M285" s="22"/>
      <c r="N285" s="22" t="s">
        <v>475</v>
      </c>
      <c r="O285" s="23" t="s">
        <v>476</v>
      </c>
      <c r="P285" s="18" t="s">
        <v>56</v>
      </c>
      <c r="Q285" s="72"/>
      <c r="R285" s="72"/>
      <c r="S285" s="25">
        <v>200</v>
      </c>
      <c r="T285" s="26"/>
      <c r="U285" s="26"/>
      <c r="V285" s="25"/>
      <c r="W285" s="26"/>
      <c r="X285" s="25"/>
      <c r="Y285" s="26">
        <f>T285+R285+Q285+U285+W285</f>
        <v>0</v>
      </c>
      <c r="Z285" s="27">
        <v>200</v>
      </c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>
        <f>SUM(AM285:AS285)</f>
        <v>0</v>
      </c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72">
        <f>Y285-AV285-AX285-AW285</f>
        <v>0</v>
      </c>
      <c r="AZ285" s="68"/>
      <c r="BA285" s="26">
        <f>AL285+AG285+AA285+AT285</f>
        <v>0</v>
      </c>
      <c r="BB285" s="30">
        <f>BD285+AO285+AG285</f>
        <v>0</v>
      </c>
      <c r="BC285" s="30">
        <f>BD285+AS285</f>
        <v>0</v>
      </c>
      <c r="BD285" s="30">
        <f>IF(BA285&gt;0,Y285-BA285,BA285)</f>
        <v>0</v>
      </c>
      <c r="BE285" s="31">
        <v>11</v>
      </c>
      <c r="BF285" s="30" t="s">
        <v>57</v>
      </c>
      <c r="BG285" s="31">
        <f>BE285*Q285</f>
        <v>0</v>
      </c>
      <c r="BH285" s="31">
        <f>BE285*R285*0.4</f>
        <v>0</v>
      </c>
      <c r="BI285" s="142"/>
      <c r="BJ285" s="142"/>
      <c r="BK285" s="32">
        <f>Y285*BE285</f>
        <v>0</v>
      </c>
      <c r="BL285" s="25"/>
      <c r="BM285" s="25"/>
      <c r="BN285" s="25"/>
      <c r="BO285" s="25"/>
      <c r="BP285" s="25">
        <f>BE285*AV285</f>
        <v>0</v>
      </c>
      <c r="BQ285" s="25">
        <f>BE285*AX285</f>
        <v>0</v>
      </c>
      <c r="BR285" s="26"/>
      <c r="BS285" s="32"/>
    </row>
    <row r="286" spans="1:71" s="6" customFormat="1" ht="41.25" customHeight="1">
      <c r="A286" s="18">
        <v>283</v>
      </c>
      <c r="B286" s="18" t="s">
        <v>94</v>
      </c>
      <c r="C286" s="18" t="s">
        <v>166</v>
      </c>
      <c r="D286" s="18" t="s">
        <v>96</v>
      </c>
      <c r="E286" s="22" t="s">
        <v>477</v>
      </c>
      <c r="F286" s="48" t="s">
        <v>98</v>
      </c>
      <c r="G286" s="48"/>
      <c r="H286" s="22"/>
      <c r="I286" s="22"/>
      <c r="J286" s="22"/>
      <c r="K286" s="22"/>
      <c r="L286" s="22"/>
      <c r="M286" s="22"/>
      <c r="N286" s="22" t="s">
        <v>478</v>
      </c>
      <c r="O286" s="23"/>
      <c r="P286" s="18" t="s">
        <v>56</v>
      </c>
      <c r="Q286" s="72"/>
      <c r="R286" s="72"/>
      <c r="S286" s="25">
        <v>20</v>
      </c>
      <c r="T286" s="26"/>
      <c r="U286" s="26"/>
      <c r="V286" s="25">
        <v>20</v>
      </c>
      <c r="W286" s="26"/>
      <c r="X286" s="25">
        <v>40</v>
      </c>
      <c r="Y286" s="26">
        <f>T286+R286+Q286+U286+W286</f>
        <v>0</v>
      </c>
      <c r="Z286" s="27">
        <v>140</v>
      </c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>
        <f>SUM(AM286:AS286)</f>
        <v>0</v>
      </c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72">
        <f>Y286-AV286-AX286-AW286</f>
        <v>0</v>
      </c>
      <c r="AZ286" s="68"/>
      <c r="BA286" s="26">
        <f>AL286+AG286+AA286+AT286</f>
        <v>0</v>
      </c>
      <c r="BB286" s="30">
        <f>BD286+AO286+AG286</f>
        <v>0</v>
      </c>
      <c r="BC286" s="30">
        <f>BD286+AS286</f>
        <v>0</v>
      </c>
      <c r="BD286" s="30">
        <f>IF(BA286&gt;0,Y286-BA286,BA286)</f>
        <v>0</v>
      </c>
      <c r="BE286" s="31">
        <v>8</v>
      </c>
      <c r="BF286" s="30" t="s">
        <v>57</v>
      </c>
      <c r="BG286" s="31">
        <f>BE286*Q286</f>
        <v>0</v>
      </c>
      <c r="BH286" s="31">
        <f>BE286*R286*0.4</f>
        <v>0</v>
      </c>
      <c r="BI286" s="142"/>
      <c r="BJ286" s="142"/>
      <c r="BK286" s="32">
        <f>Y286*BE286</f>
        <v>0</v>
      </c>
      <c r="BL286" s="25">
        <v>40</v>
      </c>
      <c r="BM286" s="25">
        <v>40</v>
      </c>
      <c r="BN286" s="25">
        <v>40</v>
      </c>
      <c r="BO286" s="25">
        <v>40</v>
      </c>
      <c r="BP286" s="25">
        <f>BE286*AV286</f>
        <v>0</v>
      </c>
      <c r="BQ286" s="25">
        <f>BE286*AX286</f>
        <v>0</v>
      </c>
      <c r="BR286" s="26"/>
      <c r="BS286" s="32"/>
    </row>
    <row r="287" spans="1:71" s="6" customFormat="1" ht="41.25" customHeight="1">
      <c r="A287" s="18">
        <v>284</v>
      </c>
      <c r="B287" s="50" t="s">
        <v>94</v>
      </c>
      <c r="C287" s="44" t="s">
        <v>158</v>
      </c>
      <c r="D287" s="18" t="s">
        <v>96</v>
      </c>
      <c r="E287" s="55" t="s">
        <v>378</v>
      </c>
      <c r="F287" s="52" t="s">
        <v>123</v>
      </c>
      <c r="G287" s="52"/>
      <c r="H287" s="50"/>
      <c r="I287" s="50"/>
      <c r="J287" s="169"/>
      <c r="K287" s="50"/>
      <c r="L287" s="20" t="s">
        <v>53</v>
      </c>
      <c r="M287" s="22"/>
      <c r="N287" s="22" t="s">
        <v>479</v>
      </c>
      <c r="O287" s="23" t="s">
        <v>480</v>
      </c>
      <c r="P287" s="18" t="s">
        <v>56</v>
      </c>
      <c r="Q287" s="146"/>
      <c r="R287" s="146"/>
      <c r="S287" s="25"/>
      <c r="T287" s="26"/>
      <c r="U287" s="26"/>
      <c r="V287" s="25"/>
      <c r="W287" s="26"/>
      <c r="X287" s="25"/>
      <c r="Y287" s="26">
        <f>T287+R287+Q287+U287+W287</f>
        <v>0</v>
      </c>
      <c r="Z287" s="27">
        <v>200</v>
      </c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>
        <f>SUM(AM287:AS287)</f>
        <v>0</v>
      </c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72">
        <f>Y287-AV287-AX287-AW287</f>
        <v>0</v>
      </c>
      <c r="AZ287" s="68"/>
      <c r="BA287" s="26">
        <f>AL287+AG287+AA287+AT287</f>
        <v>0</v>
      </c>
      <c r="BB287" s="30">
        <f>BD287+AO287+AG287</f>
        <v>0</v>
      </c>
      <c r="BC287" s="30">
        <f>BD287+AS287</f>
        <v>0</v>
      </c>
      <c r="BD287" s="30">
        <f>IF(BA287&gt;0,Y287-BA287,BA287)</f>
        <v>0</v>
      </c>
      <c r="BE287" s="31"/>
      <c r="BF287" s="30" t="s">
        <v>57</v>
      </c>
      <c r="BG287" s="31">
        <f>BE287*Q287</f>
        <v>0</v>
      </c>
      <c r="BH287" s="31">
        <f>BE287*R287*0.4</f>
        <v>0</v>
      </c>
      <c r="BI287" s="31"/>
      <c r="BJ287" s="31"/>
      <c r="BK287" s="32">
        <f>Y287*BE287</f>
        <v>0</v>
      </c>
      <c r="BL287" s="25"/>
      <c r="BM287" s="25"/>
      <c r="BN287" s="25">
        <v>200</v>
      </c>
      <c r="BO287" s="25"/>
      <c r="BP287" s="25">
        <f>BE287*AV287</f>
        <v>0</v>
      </c>
      <c r="BQ287" s="25">
        <f>BE287*AX287</f>
        <v>0</v>
      </c>
      <c r="BR287" s="28"/>
      <c r="BS287" s="32"/>
    </row>
    <row r="288" spans="1:71" s="6" customFormat="1" ht="41.25" customHeight="1">
      <c r="A288" s="18">
        <v>285</v>
      </c>
      <c r="B288" s="18" t="s">
        <v>58</v>
      </c>
      <c r="C288" s="33" t="s">
        <v>481</v>
      </c>
      <c r="D288" s="75" t="s">
        <v>482</v>
      </c>
      <c r="E288" s="20" t="s">
        <v>483</v>
      </c>
      <c r="F288" s="75" t="s">
        <v>482</v>
      </c>
      <c r="G288" s="75"/>
      <c r="H288" s="22"/>
      <c r="I288" s="22"/>
      <c r="J288" s="22"/>
      <c r="K288" s="22"/>
      <c r="L288" s="20" t="s">
        <v>53</v>
      </c>
      <c r="M288" s="22"/>
      <c r="N288" s="22" t="s">
        <v>484</v>
      </c>
      <c r="O288" s="23"/>
      <c r="P288" s="18" t="s">
        <v>56</v>
      </c>
      <c r="Q288" s="72"/>
      <c r="R288" s="72"/>
      <c r="S288" s="35">
        <v>5</v>
      </c>
      <c r="T288" s="26"/>
      <c r="U288" s="26"/>
      <c r="V288" s="35"/>
      <c r="W288" s="154"/>
      <c r="X288" s="35"/>
      <c r="Y288" s="26">
        <f>T288+R288+Q288+U288+W288</f>
        <v>0</v>
      </c>
      <c r="Z288" s="27">
        <v>5</v>
      </c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>
        <f>SUM(AM288:AS288)</f>
        <v>0</v>
      </c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72">
        <f>Y288-AV288-AX288-AW288</f>
        <v>0</v>
      </c>
      <c r="AZ288" s="68"/>
      <c r="BA288" s="26">
        <f>AL288+AG288+AA288+AT288</f>
        <v>0</v>
      </c>
      <c r="BB288" s="30">
        <f>BD288+AO288+AG288</f>
        <v>0</v>
      </c>
      <c r="BC288" s="30">
        <f>BD288+AS288</f>
        <v>0</v>
      </c>
      <c r="BD288" s="30">
        <f>IF(BA288&gt;0,Y288-BA288,BA288)</f>
        <v>0</v>
      </c>
      <c r="BE288" s="31">
        <v>747.9</v>
      </c>
      <c r="BF288" s="30" t="s">
        <v>57</v>
      </c>
      <c r="BG288" s="31">
        <f>BE288*Q288</f>
        <v>0</v>
      </c>
      <c r="BH288" s="31">
        <f>BE288*R288*0.4</f>
        <v>0</v>
      </c>
      <c r="BI288" s="142"/>
      <c r="BJ288" s="142"/>
      <c r="BK288" s="32">
        <f>Y288*BE288</f>
        <v>0</v>
      </c>
      <c r="BL288" s="35"/>
      <c r="BM288" s="35"/>
      <c r="BN288" s="35"/>
      <c r="BO288" s="35"/>
      <c r="BP288" s="25">
        <f>BE288*AV288</f>
        <v>0</v>
      </c>
      <c r="BQ288" s="25">
        <f>BE288*AX288</f>
        <v>0</v>
      </c>
      <c r="BR288" s="26"/>
      <c r="BS288" s="32"/>
    </row>
    <row r="289" spans="1:71" s="6" customFormat="1" ht="41.25" customHeight="1">
      <c r="A289" s="18">
        <v>286</v>
      </c>
      <c r="B289" s="18" t="s">
        <v>94</v>
      </c>
      <c r="C289" s="18" t="s">
        <v>485</v>
      </c>
      <c r="D289" s="18" t="s">
        <v>96</v>
      </c>
      <c r="E289" s="22" t="s">
        <v>486</v>
      </c>
      <c r="F289" s="58" t="s">
        <v>146</v>
      </c>
      <c r="G289" s="58"/>
      <c r="H289" s="22"/>
      <c r="I289" s="22"/>
      <c r="J289" s="96"/>
      <c r="K289" s="22"/>
      <c r="L289" s="22"/>
      <c r="M289" s="22"/>
      <c r="N289" s="22" t="s">
        <v>487</v>
      </c>
      <c r="O289" s="23"/>
      <c r="P289" s="38" t="s">
        <v>56</v>
      </c>
      <c r="Q289" s="29">
        <v>40</v>
      </c>
      <c r="R289" s="72"/>
      <c r="S289" s="40">
        <v>40</v>
      </c>
      <c r="T289" s="63">
        <v>40</v>
      </c>
      <c r="U289" s="26"/>
      <c r="V289" s="25">
        <v>40</v>
      </c>
      <c r="W289" s="63">
        <v>232</v>
      </c>
      <c r="X289" s="25">
        <v>40</v>
      </c>
      <c r="Y289" s="53">
        <f>T289+R289+Q289+U289+W289</f>
        <v>312</v>
      </c>
      <c r="Z289" s="27">
        <v>280</v>
      </c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>
        <f>SUM(AM289:AS289)</f>
        <v>0</v>
      </c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9">
        <f>Y289-AV289-AX289-AW289</f>
        <v>312</v>
      </c>
      <c r="AZ289" s="29">
        <f>'Layout for shadhous 3'!I50</f>
        <v>312</v>
      </c>
      <c r="BA289" s="26">
        <f>AL289+AG289+AA289+AT289</f>
        <v>0</v>
      </c>
      <c r="BB289" s="30">
        <f>BD289+AO289+AG289</f>
        <v>0</v>
      </c>
      <c r="BC289" s="30">
        <f>BD289+AS289</f>
        <v>0</v>
      </c>
      <c r="BD289" s="30">
        <f>IF(BA289&gt;0,Y289-BA289,BA289)</f>
        <v>0</v>
      </c>
      <c r="BE289" s="31">
        <v>8</v>
      </c>
      <c r="BF289" s="30" t="s">
        <v>57</v>
      </c>
      <c r="BG289" s="31">
        <f>BE289*Q289</f>
        <v>320</v>
      </c>
      <c r="BH289" s="31">
        <f>BE289*R289*0.4</f>
        <v>0</v>
      </c>
      <c r="BI289" s="142"/>
      <c r="BJ289" s="142"/>
      <c r="BK289" s="32">
        <f>Y289*BE289</f>
        <v>2496</v>
      </c>
      <c r="BL289" s="25">
        <v>40</v>
      </c>
      <c r="BM289" s="25">
        <v>40</v>
      </c>
      <c r="BN289" s="25">
        <v>40</v>
      </c>
      <c r="BO289" s="25">
        <v>40</v>
      </c>
      <c r="BP289" s="25">
        <f>BE289*AV289</f>
        <v>0</v>
      </c>
      <c r="BQ289" s="25">
        <f>BE289*AX289</f>
        <v>0</v>
      </c>
      <c r="BR289" s="26"/>
      <c r="BS289" s="32"/>
    </row>
    <row r="290" spans="1:71" s="6" customFormat="1" ht="41.25" customHeight="1">
      <c r="A290" s="18">
        <v>287</v>
      </c>
      <c r="B290" s="18" t="s">
        <v>87</v>
      </c>
      <c r="C290" s="18" t="s">
        <v>172</v>
      </c>
      <c r="D290" s="47" t="s">
        <v>89</v>
      </c>
      <c r="E290" s="20" t="s">
        <v>474</v>
      </c>
      <c r="F290" s="19" t="s">
        <v>197</v>
      </c>
      <c r="G290" s="19"/>
      <c r="H290" s="22"/>
      <c r="I290" s="22" t="s">
        <v>129</v>
      </c>
      <c r="J290" s="96"/>
      <c r="K290" s="22"/>
      <c r="L290" s="20" t="s">
        <v>53</v>
      </c>
      <c r="M290" s="22"/>
      <c r="N290" s="22" t="s">
        <v>492</v>
      </c>
      <c r="O290" s="23" t="s">
        <v>491</v>
      </c>
      <c r="P290" s="18" t="s">
        <v>56</v>
      </c>
      <c r="Q290" s="72"/>
      <c r="R290" s="72"/>
      <c r="S290" s="25">
        <v>200</v>
      </c>
      <c r="T290" s="84"/>
      <c r="U290" s="26"/>
      <c r="V290" s="25"/>
      <c r="W290" s="26"/>
      <c r="X290" s="25"/>
      <c r="Y290" s="26">
        <f>T290+R290+Q290+U290+W290</f>
        <v>0</v>
      </c>
      <c r="Z290" s="27">
        <v>200</v>
      </c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>
        <f>SUM(AM290:AS290)</f>
        <v>0</v>
      </c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72">
        <f>Y290-AV290-AX290-AW290</f>
        <v>0</v>
      </c>
      <c r="AZ290" s="68"/>
      <c r="BA290" s="26">
        <f>AL290+AG290+AA290+AT290</f>
        <v>0</v>
      </c>
      <c r="BB290" s="30">
        <f>BD290+AO290+AG290</f>
        <v>0</v>
      </c>
      <c r="BC290" s="30">
        <f>BD290+AS290</f>
        <v>0</v>
      </c>
      <c r="BD290" s="30">
        <f>IF(BA290&gt;0,Y290-BA290,BA290)</f>
        <v>0</v>
      </c>
      <c r="BE290" s="31">
        <v>11</v>
      </c>
      <c r="BF290" s="30" t="s">
        <v>57</v>
      </c>
      <c r="BG290" s="31">
        <f>BE290*Q290</f>
        <v>0</v>
      </c>
      <c r="BH290" s="31">
        <f>BE290*R290*0.4</f>
        <v>0</v>
      </c>
      <c r="BI290" s="142"/>
      <c r="BJ290" s="142"/>
      <c r="BK290" s="32">
        <f>Y290*BE290</f>
        <v>0</v>
      </c>
      <c r="BL290" s="25"/>
      <c r="BM290" s="25"/>
      <c r="BN290" s="25"/>
      <c r="BO290" s="25"/>
      <c r="BP290" s="25">
        <f>BE290*AV290</f>
        <v>0</v>
      </c>
      <c r="BQ290" s="25">
        <f>BE290*AX290</f>
        <v>0</v>
      </c>
      <c r="BR290" s="26"/>
      <c r="BS290" s="32"/>
    </row>
    <row r="291" spans="1:71" s="6" customFormat="1" ht="41.25" customHeight="1">
      <c r="A291" s="18">
        <v>288</v>
      </c>
      <c r="B291" s="18" t="s">
        <v>94</v>
      </c>
      <c r="C291" s="18" t="s">
        <v>177</v>
      </c>
      <c r="D291" s="18" t="s">
        <v>96</v>
      </c>
      <c r="E291" s="20" t="s">
        <v>493</v>
      </c>
      <c r="F291" s="52" t="s">
        <v>123</v>
      </c>
      <c r="G291" s="52"/>
      <c r="H291" s="22"/>
      <c r="I291" s="22"/>
      <c r="J291" s="96"/>
      <c r="K291" s="22"/>
      <c r="L291" s="20" t="s">
        <v>53</v>
      </c>
      <c r="M291" s="22"/>
      <c r="N291" s="22" t="s">
        <v>494</v>
      </c>
      <c r="O291" s="23" t="s">
        <v>495</v>
      </c>
      <c r="P291" s="18" t="s">
        <v>56</v>
      </c>
      <c r="Q291" s="72"/>
      <c r="R291" s="72"/>
      <c r="S291" s="25">
        <v>20</v>
      </c>
      <c r="T291" s="26"/>
      <c r="U291" s="26"/>
      <c r="V291" s="25">
        <v>20</v>
      </c>
      <c r="W291" s="26"/>
      <c r="X291" s="25">
        <v>20</v>
      </c>
      <c r="Y291" s="26">
        <f>T291+R291+Q291+U291+W291</f>
        <v>0</v>
      </c>
      <c r="Z291" s="27">
        <v>140</v>
      </c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>
        <f>SUM(AM291:AS291)</f>
        <v>0</v>
      </c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72">
        <f>Y291-AV291-AX291-AW291</f>
        <v>0</v>
      </c>
      <c r="AZ291" s="68"/>
      <c r="BA291" s="26">
        <f>AL291+AG291+AA291+AT291</f>
        <v>0</v>
      </c>
      <c r="BB291" s="30">
        <f>BD291+AO291+AG291</f>
        <v>0</v>
      </c>
      <c r="BC291" s="30">
        <f>BD291+AS291</f>
        <v>0</v>
      </c>
      <c r="BD291" s="30">
        <f>IF(BA291&gt;0,Y291-BA291,BA291)</f>
        <v>0</v>
      </c>
      <c r="BE291" s="31">
        <v>3</v>
      </c>
      <c r="BF291" s="30" t="s">
        <v>57</v>
      </c>
      <c r="BG291" s="31">
        <f>BE291*Q291</f>
        <v>0</v>
      </c>
      <c r="BH291" s="31">
        <f>BE291*R291*0.4</f>
        <v>0</v>
      </c>
      <c r="BI291" s="142"/>
      <c r="BJ291" s="142"/>
      <c r="BK291" s="32">
        <f>Y291*BE291</f>
        <v>0</v>
      </c>
      <c r="BL291" s="25">
        <v>20</v>
      </c>
      <c r="BM291" s="25">
        <v>20</v>
      </c>
      <c r="BN291" s="25">
        <v>20</v>
      </c>
      <c r="BO291" s="25">
        <v>20</v>
      </c>
      <c r="BP291" s="25">
        <f>BE291*AV291</f>
        <v>0</v>
      </c>
      <c r="BQ291" s="25">
        <f>BE291*AX291</f>
        <v>0</v>
      </c>
      <c r="BR291" s="26"/>
      <c r="BS291" s="32"/>
    </row>
    <row r="292" spans="1:71" s="6" customFormat="1" ht="41.25" customHeight="1">
      <c r="A292" s="18">
        <v>289</v>
      </c>
      <c r="B292" s="18" t="s">
        <v>58</v>
      </c>
      <c r="C292" s="33" t="s">
        <v>59</v>
      </c>
      <c r="D292" s="34" t="s">
        <v>60</v>
      </c>
      <c r="E292" s="20" t="s">
        <v>496</v>
      </c>
      <c r="F292" s="34" t="s">
        <v>62</v>
      </c>
      <c r="G292" s="22"/>
      <c r="H292" s="22"/>
      <c r="I292" s="22"/>
      <c r="J292" s="169"/>
      <c r="K292" s="22"/>
      <c r="L292" s="20" t="s">
        <v>53</v>
      </c>
      <c r="M292" s="22"/>
      <c r="N292" s="22" t="s">
        <v>497</v>
      </c>
      <c r="O292" s="23" t="s">
        <v>498</v>
      </c>
      <c r="P292" s="18" t="s">
        <v>65</v>
      </c>
      <c r="Q292" s="72"/>
      <c r="R292" s="72"/>
      <c r="S292" s="35">
        <v>30</v>
      </c>
      <c r="T292" s="26"/>
      <c r="U292" s="26"/>
      <c r="V292" s="35">
        <v>30</v>
      </c>
      <c r="W292" s="154"/>
      <c r="X292" s="35">
        <v>30</v>
      </c>
      <c r="Y292" s="26">
        <f>T292+R292+Q292+U292+W292</f>
        <v>0</v>
      </c>
      <c r="Z292" s="27">
        <v>210</v>
      </c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>
        <f>SUM(AM292:AS292)</f>
        <v>0</v>
      </c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72">
        <f>Y292-AV292-AX292-AW292</f>
        <v>0</v>
      </c>
      <c r="AZ292" s="68"/>
      <c r="BA292" s="26">
        <f>AL292+AG292+AA292+AT292</f>
        <v>0</v>
      </c>
      <c r="BB292" s="30">
        <f>BD292+AO292+AG292</f>
        <v>0</v>
      </c>
      <c r="BC292" s="30">
        <f>BD292+AS292</f>
        <v>0</v>
      </c>
      <c r="BD292" s="30">
        <f>IF(BA292&gt;0,Y292-BA292,BA292)</f>
        <v>0</v>
      </c>
      <c r="BE292" s="31">
        <v>56</v>
      </c>
      <c r="BF292" s="30" t="s">
        <v>57</v>
      </c>
      <c r="BG292" s="31">
        <f>BE292*Q292</f>
        <v>0</v>
      </c>
      <c r="BH292" s="31">
        <f>BE292*R292*0.4</f>
        <v>0</v>
      </c>
      <c r="BI292" s="31"/>
      <c r="BJ292" s="31"/>
      <c r="BK292" s="32">
        <f>Y292*BE292</f>
        <v>0</v>
      </c>
      <c r="BL292" s="35">
        <v>30</v>
      </c>
      <c r="BM292" s="35">
        <v>30</v>
      </c>
      <c r="BN292" s="35">
        <v>30</v>
      </c>
      <c r="BO292" s="35">
        <v>30</v>
      </c>
      <c r="BP292" s="25">
        <f>BE292*AV292</f>
        <v>0</v>
      </c>
      <c r="BQ292" s="25">
        <f>BE292*AX292</f>
        <v>0</v>
      </c>
      <c r="BR292" s="26"/>
      <c r="BS292" s="32"/>
    </row>
    <row r="293" spans="1:71" s="6" customFormat="1" ht="41.25" customHeight="1">
      <c r="A293" s="18">
        <v>290</v>
      </c>
      <c r="B293" s="18" t="s">
        <v>66</v>
      </c>
      <c r="C293" s="65" t="s">
        <v>225</v>
      </c>
      <c r="D293" s="56" t="s">
        <v>50</v>
      </c>
      <c r="E293" s="20" t="s">
        <v>413</v>
      </c>
      <c r="F293" s="60" t="s">
        <v>155</v>
      </c>
      <c r="G293" s="60"/>
      <c r="H293" s="50"/>
      <c r="I293" s="50"/>
      <c r="J293" s="169"/>
      <c r="K293" s="50"/>
      <c r="L293" s="20" t="s">
        <v>53</v>
      </c>
      <c r="M293" s="22"/>
      <c r="N293" s="22" t="s">
        <v>499</v>
      </c>
      <c r="O293" s="23" t="s">
        <v>500</v>
      </c>
      <c r="P293" s="18" t="s">
        <v>56</v>
      </c>
      <c r="Q293" s="72"/>
      <c r="R293" s="72"/>
      <c r="S293" s="25">
        <v>1820</v>
      </c>
      <c r="T293" s="26"/>
      <c r="U293" s="26"/>
      <c r="V293" s="25">
        <v>1820</v>
      </c>
      <c r="W293" s="26"/>
      <c r="X293" s="25">
        <v>1092</v>
      </c>
      <c r="Y293" s="26">
        <f>T293+R293+Q293+U293+W293</f>
        <v>0</v>
      </c>
      <c r="Z293" s="27">
        <v>9100</v>
      </c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>
        <f>SUM(AM293:AS293)</f>
        <v>0</v>
      </c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72">
        <f>Y293-AV293-AX293-AW293</f>
        <v>0</v>
      </c>
      <c r="AZ293" s="68"/>
      <c r="BA293" s="26">
        <f>AL293+AG293+AA293+AT293</f>
        <v>0</v>
      </c>
      <c r="BB293" s="30">
        <f>BD293+AO293+AG293</f>
        <v>0</v>
      </c>
      <c r="BC293" s="30">
        <f>BD293+AS293</f>
        <v>0</v>
      </c>
      <c r="BD293" s="30">
        <f>IF(BA293&gt;0,Y293-BA293,BA293)</f>
        <v>0</v>
      </c>
      <c r="BE293" s="31">
        <v>22</v>
      </c>
      <c r="BF293" s="30" t="s">
        <v>57</v>
      </c>
      <c r="BG293" s="31">
        <f>BE293*Q293</f>
        <v>0</v>
      </c>
      <c r="BH293" s="31">
        <f>BE293*R293*0.4</f>
        <v>0</v>
      </c>
      <c r="BI293" s="142"/>
      <c r="BJ293" s="142"/>
      <c r="BK293" s="32">
        <f>Y293*BE293</f>
        <v>0</v>
      </c>
      <c r="BL293" s="25">
        <v>1092</v>
      </c>
      <c r="BM293" s="25">
        <v>1092</v>
      </c>
      <c r="BN293" s="25">
        <v>1092</v>
      </c>
      <c r="BO293" s="25">
        <v>1092</v>
      </c>
      <c r="BP293" s="25">
        <f>BE293*AV293</f>
        <v>0</v>
      </c>
      <c r="BQ293" s="25">
        <f>BE293*AX293</f>
        <v>0</v>
      </c>
      <c r="BR293" s="26"/>
      <c r="BS293" s="32"/>
    </row>
    <row r="294" spans="1:71" s="6" customFormat="1" ht="41.25" customHeight="1">
      <c r="A294" s="18">
        <v>291</v>
      </c>
      <c r="B294" s="18" t="s">
        <v>58</v>
      </c>
      <c r="C294" s="33" t="s">
        <v>59</v>
      </c>
      <c r="D294" s="34" t="s">
        <v>60</v>
      </c>
      <c r="E294" s="20" t="s">
        <v>496</v>
      </c>
      <c r="F294" s="34" t="s">
        <v>62</v>
      </c>
      <c r="G294" s="22"/>
      <c r="H294" s="22"/>
      <c r="I294" s="22"/>
      <c r="J294" s="169"/>
      <c r="K294" s="22"/>
      <c r="L294" s="20" t="s">
        <v>53</v>
      </c>
      <c r="M294" s="22"/>
      <c r="N294" s="22" t="s">
        <v>501</v>
      </c>
      <c r="O294" s="23" t="s">
        <v>502</v>
      </c>
      <c r="P294" s="18" t="s">
        <v>65</v>
      </c>
      <c r="Q294" s="72"/>
      <c r="R294" s="72"/>
      <c r="S294" s="35">
        <v>30</v>
      </c>
      <c r="T294" s="26"/>
      <c r="U294" s="26"/>
      <c r="V294" s="35">
        <v>30</v>
      </c>
      <c r="W294" s="154"/>
      <c r="X294" s="35">
        <v>30</v>
      </c>
      <c r="Y294" s="26">
        <f>T294+R294+Q294+U294+W294</f>
        <v>0</v>
      </c>
      <c r="Z294" s="27">
        <v>210</v>
      </c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>
        <f>SUM(AM294:AS294)</f>
        <v>0</v>
      </c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72">
        <f>Y294-AV294-AX294-AW294</f>
        <v>0</v>
      </c>
      <c r="AZ294" s="68"/>
      <c r="BA294" s="26">
        <f>AL294+AG294+AA294+AT294</f>
        <v>0</v>
      </c>
      <c r="BB294" s="30">
        <f>BD294+AO294+AG294</f>
        <v>0</v>
      </c>
      <c r="BC294" s="30">
        <f>BD294+AS294</f>
        <v>0</v>
      </c>
      <c r="BD294" s="30">
        <f>IF(BA294&gt;0,Y294-BA294,BA294)</f>
        <v>0</v>
      </c>
      <c r="BE294" s="31">
        <v>56</v>
      </c>
      <c r="BF294" s="30" t="s">
        <v>57</v>
      </c>
      <c r="BG294" s="31">
        <f>BE294*Q294</f>
        <v>0</v>
      </c>
      <c r="BH294" s="31">
        <f>BE294*R294*0.4</f>
        <v>0</v>
      </c>
      <c r="BI294" s="31"/>
      <c r="BJ294" s="31"/>
      <c r="BK294" s="32">
        <f>Y294*BE294</f>
        <v>0</v>
      </c>
      <c r="BL294" s="35">
        <v>30</v>
      </c>
      <c r="BM294" s="35">
        <v>30</v>
      </c>
      <c r="BN294" s="35">
        <v>30</v>
      </c>
      <c r="BO294" s="35">
        <v>30</v>
      </c>
      <c r="BP294" s="25">
        <f>BE294*AV294</f>
        <v>0</v>
      </c>
      <c r="BQ294" s="25">
        <f>BE294*AX294</f>
        <v>0</v>
      </c>
      <c r="BR294" s="26"/>
      <c r="BS294" s="32"/>
    </row>
    <row r="295" spans="1:71" s="6" customFormat="1" ht="41.25" customHeight="1">
      <c r="A295" s="18">
        <v>292</v>
      </c>
      <c r="B295" s="18" t="s">
        <v>87</v>
      </c>
      <c r="C295" s="65" t="s">
        <v>125</v>
      </c>
      <c r="D295" s="47" t="s">
        <v>89</v>
      </c>
      <c r="E295" s="20" t="s">
        <v>442</v>
      </c>
      <c r="F295" s="21" t="s">
        <v>503</v>
      </c>
      <c r="G295" s="21"/>
      <c r="H295" s="22"/>
      <c r="I295" s="22" t="s">
        <v>345</v>
      </c>
      <c r="J295" s="169"/>
      <c r="K295" s="22"/>
      <c r="L295" s="20" t="s">
        <v>53</v>
      </c>
      <c r="M295" s="22"/>
      <c r="N295" s="22" t="s">
        <v>504</v>
      </c>
      <c r="O295" s="23" t="s">
        <v>495</v>
      </c>
      <c r="P295" s="18" t="s">
        <v>56</v>
      </c>
      <c r="Q295" s="72"/>
      <c r="R295" s="72"/>
      <c r="S295" s="25">
        <v>200</v>
      </c>
      <c r="T295" s="26"/>
      <c r="U295" s="26"/>
      <c r="V295" s="25"/>
      <c r="W295" s="26"/>
      <c r="X295" s="25"/>
      <c r="Y295" s="26">
        <f>T295+R295+Q295+U295+W295</f>
        <v>0</v>
      </c>
      <c r="Z295" s="27">
        <v>200</v>
      </c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>
        <f>SUM(AM295:AS295)</f>
        <v>0</v>
      </c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72">
        <f>Y295-AV295-AX295-AW295</f>
        <v>0</v>
      </c>
      <c r="AZ295" s="68"/>
      <c r="BA295" s="26">
        <f>AL295+AG295+AA295+AT295</f>
        <v>0</v>
      </c>
      <c r="BB295" s="30">
        <f>BD295+AO295+AG295</f>
        <v>0</v>
      </c>
      <c r="BC295" s="30">
        <f>BD295+AS295</f>
        <v>0</v>
      </c>
      <c r="BD295" s="30">
        <f>IF(BA295&gt;0,Y295-BA295,BA295)</f>
        <v>0</v>
      </c>
      <c r="BE295" s="31">
        <v>3.75</v>
      </c>
      <c r="BF295" s="30" t="s">
        <v>57</v>
      </c>
      <c r="BG295" s="31">
        <f>BE295*Q295</f>
        <v>0</v>
      </c>
      <c r="BH295" s="31">
        <f>BE295*R295*0.4</f>
        <v>0</v>
      </c>
      <c r="BI295" s="142"/>
      <c r="BJ295" s="142"/>
      <c r="BK295" s="32">
        <f>Y295*BE295</f>
        <v>0</v>
      </c>
      <c r="BL295" s="25"/>
      <c r="BM295" s="25"/>
      <c r="BN295" s="25"/>
      <c r="BO295" s="25"/>
      <c r="BP295" s="25">
        <f>BE295*AV295</f>
        <v>0</v>
      </c>
      <c r="BQ295" s="25">
        <f>BE295*AX295</f>
        <v>0</v>
      </c>
      <c r="BR295" s="26"/>
      <c r="BS295" s="32"/>
    </row>
    <row r="296" spans="1:71" s="6" customFormat="1" ht="41.25" customHeight="1">
      <c r="A296" s="18">
        <v>293</v>
      </c>
      <c r="B296" s="18" t="s">
        <v>87</v>
      </c>
      <c r="C296" s="65" t="s">
        <v>125</v>
      </c>
      <c r="D296" s="47" t="s">
        <v>89</v>
      </c>
      <c r="E296" s="20" t="s">
        <v>505</v>
      </c>
      <c r="F296" s="21" t="s">
        <v>506</v>
      </c>
      <c r="G296" s="21"/>
      <c r="H296" s="22"/>
      <c r="I296" s="22" t="s">
        <v>345</v>
      </c>
      <c r="J296" s="170"/>
      <c r="K296" s="22"/>
      <c r="L296" s="20" t="s">
        <v>53</v>
      </c>
      <c r="M296" s="22"/>
      <c r="N296" s="22" t="s">
        <v>507</v>
      </c>
      <c r="O296" s="23" t="s">
        <v>508</v>
      </c>
      <c r="P296" s="18" t="s">
        <v>56</v>
      </c>
      <c r="Q296" s="72"/>
      <c r="R296" s="72"/>
      <c r="S296" s="25">
        <v>100</v>
      </c>
      <c r="T296" s="26"/>
      <c r="U296" s="26"/>
      <c r="V296" s="25"/>
      <c r="W296" s="26"/>
      <c r="X296" s="25"/>
      <c r="Y296" s="26">
        <f>T296+R296+Q296+U296+W296</f>
        <v>0</v>
      </c>
      <c r="Z296" s="27">
        <v>100</v>
      </c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>
        <f>SUM(AM296:AS296)</f>
        <v>0</v>
      </c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72">
        <f>Y296-AV296-AX296-AW296</f>
        <v>0</v>
      </c>
      <c r="AZ296" s="68"/>
      <c r="BA296" s="26">
        <f>AL296+AG296+AA296+AT296</f>
        <v>0</v>
      </c>
      <c r="BB296" s="30">
        <f>BD296+AO296+AG296</f>
        <v>0</v>
      </c>
      <c r="BC296" s="30">
        <f>BD296+AS296</f>
        <v>0</v>
      </c>
      <c r="BD296" s="30">
        <f>IF(BA296&gt;0,Y296-BA296,BA296)</f>
        <v>0</v>
      </c>
      <c r="BE296" s="31">
        <v>3.75</v>
      </c>
      <c r="BF296" s="30" t="s">
        <v>57</v>
      </c>
      <c r="BG296" s="31">
        <f>BE296*Q296</f>
        <v>0</v>
      </c>
      <c r="BH296" s="31">
        <f>BE296*R296*0.4</f>
        <v>0</v>
      </c>
      <c r="BI296" s="142"/>
      <c r="BJ296" s="142"/>
      <c r="BK296" s="32">
        <f>Y296*BE296</f>
        <v>0</v>
      </c>
      <c r="BL296" s="25"/>
      <c r="BM296" s="25"/>
      <c r="BN296" s="25"/>
      <c r="BO296" s="25"/>
      <c r="BP296" s="25">
        <f>BE296*AV296</f>
        <v>0</v>
      </c>
      <c r="BQ296" s="25">
        <f>BE296*AX296</f>
        <v>0</v>
      </c>
      <c r="BR296" s="26"/>
      <c r="BS296" s="32"/>
    </row>
    <row r="297" spans="1:71" s="6" customFormat="1" ht="41.25" customHeight="1">
      <c r="A297" s="18">
        <v>294</v>
      </c>
      <c r="B297" s="18" t="s">
        <v>87</v>
      </c>
      <c r="C297" s="65" t="s">
        <v>125</v>
      </c>
      <c r="D297" s="47" t="s">
        <v>89</v>
      </c>
      <c r="E297" s="20" t="s">
        <v>505</v>
      </c>
      <c r="F297" s="21" t="s">
        <v>506</v>
      </c>
      <c r="G297" s="21"/>
      <c r="H297" s="22"/>
      <c r="I297" s="22" t="s">
        <v>345</v>
      </c>
      <c r="J297" s="22"/>
      <c r="K297" s="22"/>
      <c r="L297" s="20" t="s">
        <v>53</v>
      </c>
      <c r="M297" s="22"/>
      <c r="N297" s="22" t="s">
        <v>509</v>
      </c>
      <c r="O297" s="23" t="s">
        <v>510</v>
      </c>
      <c r="P297" s="18" t="s">
        <v>56</v>
      </c>
      <c r="Q297" s="72"/>
      <c r="R297" s="72"/>
      <c r="S297" s="25">
        <v>100</v>
      </c>
      <c r="T297" s="26"/>
      <c r="U297" s="26"/>
      <c r="V297" s="25"/>
      <c r="W297" s="26"/>
      <c r="X297" s="25"/>
      <c r="Y297" s="26">
        <f>T297+R297+Q297+U297+W297</f>
        <v>0</v>
      </c>
      <c r="Z297" s="27">
        <v>100</v>
      </c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>
        <f>SUM(AM297:AS297)</f>
        <v>0</v>
      </c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72">
        <f>Y297-AV297-AX297-AW297</f>
        <v>0</v>
      </c>
      <c r="AZ297" s="68"/>
      <c r="BA297" s="26">
        <f>AL297+AG297+AA297+AT297</f>
        <v>0</v>
      </c>
      <c r="BB297" s="30">
        <f>BD297+AO297+AG297</f>
        <v>0</v>
      </c>
      <c r="BC297" s="30">
        <f>BD297+AS297</f>
        <v>0</v>
      </c>
      <c r="BD297" s="30">
        <f>IF(BA297&gt;0,Y297-BA297,BA297)</f>
        <v>0</v>
      </c>
      <c r="BE297" s="31">
        <v>3.75</v>
      </c>
      <c r="BF297" s="30" t="s">
        <v>57</v>
      </c>
      <c r="BG297" s="31">
        <f>BE297*Q297</f>
        <v>0</v>
      </c>
      <c r="BH297" s="31">
        <f>BE297*R297*0.4</f>
        <v>0</v>
      </c>
      <c r="BI297" s="31"/>
      <c r="BJ297" s="31"/>
      <c r="BK297" s="32">
        <f>Y297*BE297</f>
        <v>0</v>
      </c>
      <c r="BL297" s="25"/>
      <c r="BM297" s="25"/>
      <c r="BN297" s="25"/>
      <c r="BO297" s="25"/>
      <c r="BP297" s="25">
        <f>BE297*AV297</f>
        <v>0</v>
      </c>
      <c r="BQ297" s="25">
        <f>BE297*AX297</f>
        <v>0</v>
      </c>
      <c r="BR297" s="26"/>
      <c r="BS297" s="32"/>
    </row>
    <row r="298" spans="1:71" s="6" customFormat="1" ht="41.25" customHeight="1">
      <c r="A298" s="18">
        <v>295</v>
      </c>
      <c r="B298" s="18" t="s">
        <v>58</v>
      </c>
      <c r="C298" s="33" t="s">
        <v>59</v>
      </c>
      <c r="D298" s="34" t="s">
        <v>60</v>
      </c>
      <c r="E298" s="20" t="s">
        <v>511</v>
      </c>
      <c r="F298" s="34" t="s">
        <v>62</v>
      </c>
      <c r="G298" s="22"/>
      <c r="H298" s="22"/>
      <c r="I298" s="22"/>
      <c r="J298" s="22"/>
      <c r="K298" s="22"/>
      <c r="L298" s="20" t="s">
        <v>53</v>
      </c>
      <c r="M298" s="22"/>
      <c r="N298" s="22" t="s">
        <v>512</v>
      </c>
      <c r="O298" s="23" t="s">
        <v>510</v>
      </c>
      <c r="P298" s="18" t="s">
        <v>65</v>
      </c>
      <c r="Q298" s="72"/>
      <c r="R298" s="72"/>
      <c r="S298" s="35">
        <v>30</v>
      </c>
      <c r="T298" s="26"/>
      <c r="U298" s="26"/>
      <c r="V298" s="35">
        <v>30</v>
      </c>
      <c r="W298" s="154"/>
      <c r="X298" s="35">
        <v>30</v>
      </c>
      <c r="Y298" s="26">
        <f>T298+R298+Q298+U298+W298</f>
        <v>0</v>
      </c>
      <c r="Z298" s="27">
        <v>210</v>
      </c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>
        <f>SUM(AM298:AS298)</f>
        <v>0</v>
      </c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72">
        <f>Y298-AV298-AX298-AW298</f>
        <v>0</v>
      </c>
      <c r="AZ298" s="68"/>
      <c r="BA298" s="26">
        <f>AL298+AG298+AA298+AT298</f>
        <v>0</v>
      </c>
      <c r="BB298" s="30">
        <f>BD298+AO298+AG298</f>
        <v>0</v>
      </c>
      <c r="BC298" s="30">
        <f>BD298+AS298</f>
        <v>0</v>
      </c>
      <c r="BD298" s="30">
        <f>IF(BA298&gt;0,Y298-BA298,BA298)</f>
        <v>0</v>
      </c>
      <c r="BE298" s="31">
        <v>56</v>
      </c>
      <c r="BF298" s="30" t="s">
        <v>57</v>
      </c>
      <c r="BG298" s="31">
        <f>BE298*Q298</f>
        <v>0</v>
      </c>
      <c r="BH298" s="31">
        <f>BE298*R298*0.4</f>
        <v>0</v>
      </c>
      <c r="BI298" s="31"/>
      <c r="BJ298" s="31"/>
      <c r="BK298" s="32">
        <f>Y298*BE298</f>
        <v>0</v>
      </c>
      <c r="BL298" s="35">
        <v>30</v>
      </c>
      <c r="BM298" s="35">
        <v>30</v>
      </c>
      <c r="BN298" s="35">
        <v>30</v>
      </c>
      <c r="BO298" s="35">
        <v>30</v>
      </c>
      <c r="BP298" s="25">
        <f>BE298*AV298</f>
        <v>0</v>
      </c>
      <c r="BQ298" s="25">
        <f>BE298*AX298</f>
        <v>0</v>
      </c>
      <c r="BR298" s="26"/>
      <c r="BS298" s="32"/>
    </row>
    <row r="299" spans="1:71" s="6" customFormat="1" ht="41.25" customHeight="1">
      <c r="A299" s="18">
        <v>296</v>
      </c>
      <c r="B299" s="18" t="s">
        <v>58</v>
      </c>
      <c r="C299" s="33" t="s">
        <v>59</v>
      </c>
      <c r="D299" s="34" t="s">
        <v>60</v>
      </c>
      <c r="E299" s="20" t="s">
        <v>511</v>
      </c>
      <c r="F299" s="34" t="s">
        <v>62</v>
      </c>
      <c r="G299" s="22"/>
      <c r="H299" s="22"/>
      <c r="I299" s="22"/>
      <c r="J299" s="22"/>
      <c r="K299" s="22"/>
      <c r="L299" s="20" t="s">
        <v>53</v>
      </c>
      <c r="M299" s="22"/>
      <c r="N299" s="22" t="s">
        <v>513</v>
      </c>
      <c r="O299" s="23" t="s">
        <v>510</v>
      </c>
      <c r="P299" s="18" t="s">
        <v>65</v>
      </c>
      <c r="Q299" s="72"/>
      <c r="R299" s="72"/>
      <c r="S299" s="35">
        <v>30</v>
      </c>
      <c r="T299" s="26"/>
      <c r="U299" s="26"/>
      <c r="V299" s="35">
        <v>30</v>
      </c>
      <c r="W299" s="154"/>
      <c r="X299" s="35">
        <v>30</v>
      </c>
      <c r="Y299" s="26">
        <f>T299+R299+Q299+U299+W299</f>
        <v>0</v>
      </c>
      <c r="Z299" s="27">
        <v>210</v>
      </c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>
        <f>SUM(AM299:AS299)</f>
        <v>0</v>
      </c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72">
        <f>Y299-AV299-AX299-AW299</f>
        <v>0</v>
      </c>
      <c r="AZ299" s="68"/>
      <c r="BA299" s="26">
        <f>AL299+AG299+AA299+AT299</f>
        <v>0</v>
      </c>
      <c r="BB299" s="30">
        <f>BD299+AO299+AG299</f>
        <v>0</v>
      </c>
      <c r="BC299" s="30">
        <f>BD299+AS299</f>
        <v>0</v>
      </c>
      <c r="BD299" s="30">
        <f>IF(BA299&gt;0,Y299-BA299,BA299)</f>
        <v>0</v>
      </c>
      <c r="BE299" s="31">
        <v>56</v>
      </c>
      <c r="BF299" s="30" t="s">
        <v>57</v>
      </c>
      <c r="BG299" s="31">
        <f>BE299*Q299</f>
        <v>0</v>
      </c>
      <c r="BH299" s="31">
        <f>BE299*R299*0.4</f>
        <v>0</v>
      </c>
      <c r="BI299" s="31"/>
      <c r="BJ299" s="31"/>
      <c r="BK299" s="32">
        <f>Y299*BE299</f>
        <v>0</v>
      </c>
      <c r="BL299" s="35">
        <v>30</v>
      </c>
      <c r="BM299" s="35">
        <v>30</v>
      </c>
      <c r="BN299" s="35">
        <v>30</v>
      </c>
      <c r="BO299" s="35">
        <v>30</v>
      </c>
      <c r="BP299" s="25">
        <f>BE299*AV299</f>
        <v>0</v>
      </c>
      <c r="BQ299" s="25">
        <f>BE299*AX299</f>
        <v>0</v>
      </c>
      <c r="BR299" s="26"/>
      <c r="BS299" s="32"/>
    </row>
    <row r="300" spans="1:71" s="6" customFormat="1" ht="41.25" customHeight="1">
      <c r="A300" s="18">
        <v>297</v>
      </c>
      <c r="B300" s="18" t="s">
        <v>191</v>
      </c>
      <c r="C300" s="18" t="s">
        <v>192</v>
      </c>
      <c r="D300" s="21" t="s">
        <v>50</v>
      </c>
      <c r="E300" s="20" t="s">
        <v>468</v>
      </c>
      <c r="F300" s="52" t="s">
        <v>123</v>
      </c>
      <c r="G300" s="52"/>
      <c r="H300" s="22">
        <v>120</v>
      </c>
      <c r="I300" s="22">
        <v>200</v>
      </c>
      <c r="J300" s="22"/>
      <c r="K300" s="22"/>
      <c r="L300" s="20" t="s">
        <v>53</v>
      </c>
      <c r="M300" s="22"/>
      <c r="N300" s="22" t="s">
        <v>514</v>
      </c>
      <c r="O300" s="23" t="s">
        <v>515</v>
      </c>
      <c r="P300" s="18" t="s">
        <v>56</v>
      </c>
      <c r="Q300" s="72"/>
      <c r="R300" s="72"/>
      <c r="S300" s="25">
        <v>260</v>
      </c>
      <c r="T300" s="26"/>
      <c r="U300" s="26"/>
      <c r="V300" s="25">
        <v>260</v>
      </c>
      <c r="W300" s="26"/>
      <c r="X300" s="25">
        <v>156</v>
      </c>
      <c r="Y300" s="26">
        <f>T300+R300+Q300+U300+W300</f>
        <v>0</v>
      </c>
      <c r="Z300" s="27">
        <v>1300</v>
      </c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>
        <f>SUM(AM300:AS300)</f>
        <v>0</v>
      </c>
      <c r="AM300" s="26"/>
      <c r="AN300" s="26"/>
      <c r="AO300" s="26"/>
      <c r="AP300" s="26"/>
      <c r="AQ300" s="26"/>
      <c r="AR300" s="26"/>
      <c r="AS300" s="26"/>
      <c r="AT300" s="28"/>
      <c r="AU300" s="28"/>
      <c r="AV300" s="26"/>
      <c r="AW300" s="26"/>
      <c r="AX300" s="28"/>
      <c r="AY300" s="72">
        <f>Y300-AV300-AX300-AW300</f>
        <v>0</v>
      </c>
      <c r="AZ300" s="68"/>
      <c r="BA300" s="26">
        <f>AL300+AG300+AA300+AT300</f>
        <v>0</v>
      </c>
      <c r="BB300" s="30">
        <f>BD300+AO300+AG300</f>
        <v>0</v>
      </c>
      <c r="BC300" s="30">
        <f>BD300+AS300</f>
        <v>0</v>
      </c>
      <c r="BD300" s="30">
        <f>IF(BA300&gt;0,Y300-BA300,BA300)</f>
        <v>0</v>
      </c>
      <c r="BE300" s="31">
        <v>7</v>
      </c>
      <c r="BF300" s="30" t="s">
        <v>57</v>
      </c>
      <c r="BG300" s="31">
        <f>BE300*Q300</f>
        <v>0</v>
      </c>
      <c r="BH300" s="31">
        <f>BE300*R300*0.4</f>
        <v>0</v>
      </c>
      <c r="BI300" s="31"/>
      <c r="BJ300" s="31"/>
      <c r="BK300" s="32">
        <f>Y300*BE300</f>
        <v>0</v>
      </c>
      <c r="BL300" s="25">
        <v>156</v>
      </c>
      <c r="BM300" s="25">
        <v>156</v>
      </c>
      <c r="BN300" s="25">
        <v>156</v>
      </c>
      <c r="BO300" s="25">
        <v>156</v>
      </c>
      <c r="BP300" s="25">
        <f>BE300*AV300</f>
        <v>0</v>
      </c>
      <c r="BQ300" s="25">
        <f>BE300*AX300</f>
        <v>0</v>
      </c>
      <c r="BR300" s="26"/>
      <c r="BS300" s="32"/>
    </row>
    <row r="301" spans="1:71" s="6" customFormat="1" ht="41.25" customHeight="1">
      <c r="A301" s="18">
        <v>298</v>
      </c>
      <c r="B301" s="18" t="s">
        <v>87</v>
      </c>
      <c r="C301" s="65" t="s">
        <v>125</v>
      </c>
      <c r="D301" s="47" t="s">
        <v>89</v>
      </c>
      <c r="E301" s="18" t="s">
        <v>516</v>
      </c>
      <c r="F301" s="21" t="s">
        <v>344</v>
      </c>
      <c r="G301" s="21"/>
      <c r="H301" s="22"/>
      <c r="I301" s="22" t="s">
        <v>345</v>
      </c>
      <c r="J301" s="22"/>
      <c r="K301" s="22"/>
      <c r="L301" s="18"/>
      <c r="M301" s="22"/>
      <c r="N301" s="22" t="s">
        <v>514</v>
      </c>
      <c r="O301" s="23" t="s">
        <v>515</v>
      </c>
      <c r="P301" s="18" t="s">
        <v>56</v>
      </c>
      <c r="Q301" s="72"/>
      <c r="R301" s="72"/>
      <c r="S301" s="25">
        <v>200</v>
      </c>
      <c r="T301" s="26"/>
      <c r="U301" s="26"/>
      <c r="V301" s="25"/>
      <c r="W301" s="26"/>
      <c r="X301" s="25"/>
      <c r="Y301" s="26">
        <f>T301+R301+Q301+U301+W301</f>
        <v>0</v>
      </c>
      <c r="Z301" s="27">
        <v>200</v>
      </c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>
        <f>SUM(AM301:AS301)</f>
        <v>0</v>
      </c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72">
        <f>Y301-AV301-AX301-AW301</f>
        <v>0</v>
      </c>
      <c r="AZ301" s="68"/>
      <c r="BA301" s="26">
        <f>AL301+AG301+AA301+AT301</f>
        <v>0</v>
      </c>
      <c r="BB301" s="30">
        <f>BD301+AO301+AG301</f>
        <v>0</v>
      </c>
      <c r="BC301" s="30">
        <f>BD301+AS301</f>
        <v>0</v>
      </c>
      <c r="BD301" s="30">
        <f>IF(BA301&gt;0,Y301-BA301,BA301)</f>
        <v>0</v>
      </c>
      <c r="BE301" s="31">
        <v>3.75</v>
      </c>
      <c r="BF301" s="30" t="s">
        <v>57</v>
      </c>
      <c r="BG301" s="31">
        <f>BE301*Q301</f>
        <v>0</v>
      </c>
      <c r="BH301" s="31">
        <f>BE301*R301*0.4</f>
        <v>0</v>
      </c>
      <c r="BI301" s="142"/>
      <c r="BJ301" s="142"/>
      <c r="BK301" s="32">
        <f>Y301*BE301</f>
        <v>0</v>
      </c>
      <c r="BL301" s="25"/>
      <c r="BM301" s="25"/>
      <c r="BN301" s="25"/>
      <c r="BO301" s="25"/>
      <c r="BP301" s="25">
        <f>BE301*AV301</f>
        <v>0</v>
      </c>
      <c r="BQ301" s="25">
        <f>BE301*AX301</f>
        <v>0</v>
      </c>
      <c r="BR301" s="26"/>
      <c r="BS301" s="32"/>
    </row>
    <row r="302" spans="1:71" s="6" customFormat="1" ht="41.25" customHeight="1">
      <c r="A302" s="18">
        <v>299</v>
      </c>
      <c r="B302" s="18" t="s">
        <v>87</v>
      </c>
      <c r="C302" s="18" t="s">
        <v>172</v>
      </c>
      <c r="D302" s="47" t="s">
        <v>89</v>
      </c>
      <c r="E302" s="20" t="s">
        <v>525</v>
      </c>
      <c r="F302" s="71" t="s">
        <v>281</v>
      </c>
      <c r="G302" s="71"/>
      <c r="H302" s="22"/>
      <c r="I302" s="22" t="s">
        <v>129</v>
      </c>
      <c r="J302" s="22"/>
      <c r="K302" s="22"/>
      <c r="L302" s="20" t="s">
        <v>53</v>
      </c>
      <c r="M302" s="22"/>
      <c r="N302" s="22" t="s">
        <v>526</v>
      </c>
      <c r="O302" s="23" t="s">
        <v>527</v>
      </c>
      <c r="P302" s="18" t="s">
        <v>56</v>
      </c>
      <c r="Q302" s="72"/>
      <c r="R302" s="72"/>
      <c r="S302" s="25">
        <v>200</v>
      </c>
      <c r="T302" s="26"/>
      <c r="U302" s="26"/>
      <c r="V302" s="25"/>
      <c r="W302" s="26"/>
      <c r="X302" s="25"/>
      <c r="Y302" s="26">
        <f>T302+R302+Q302+U302+W302</f>
        <v>0</v>
      </c>
      <c r="Z302" s="27">
        <v>200</v>
      </c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>
        <f>SUM(AM302:AS302)</f>
        <v>0</v>
      </c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72">
        <f>Y302-AV302-AX302-AW302</f>
        <v>0</v>
      </c>
      <c r="AZ302" s="68"/>
      <c r="BA302" s="26">
        <f>AL302+AG302+AA302+AT302</f>
        <v>0</v>
      </c>
      <c r="BB302" s="30">
        <f>BD302+AO302+AG302</f>
        <v>0</v>
      </c>
      <c r="BC302" s="30">
        <f>BD302+AS302</f>
        <v>0</v>
      </c>
      <c r="BD302" s="30">
        <f>IF(BA302&gt;0,Y302-BA302,BA302)</f>
        <v>0</v>
      </c>
      <c r="BE302" s="31">
        <v>11</v>
      </c>
      <c r="BF302" s="30" t="s">
        <v>57</v>
      </c>
      <c r="BG302" s="31">
        <f>BE302*Q302</f>
        <v>0</v>
      </c>
      <c r="BH302" s="31">
        <f>BE302*R302*0.4</f>
        <v>0</v>
      </c>
      <c r="BI302" s="142"/>
      <c r="BJ302" s="142"/>
      <c r="BK302" s="32">
        <f>Y302*BE302</f>
        <v>0</v>
      </c>
      <c r="BL302" s="25"/>
      <c r="BM302" s="25"/>
      <c r="BN302" s="25"/>
      <c r="BO302" s="25"/>
      <c r="BP302" s="25">
        <f>BE302*AV302</f>
        <v>0</v>
      </c>
      <c r="BQ302" s="25">
        <f>BE302*AX302</f>
        <v>0</v>
      </c>
      <c r="BR302" s="26"/>
      <c r="BS302" s="32"/>
    </row>
    <row r="303" spans="1:71" s="6" customFormat="1" ht="41.25" customHeight="1">
      <c r="A303" s="18">
        <v>300</v>
      </c>
      <c r="B303" s="18" t="s">
        <v>58</v>
      </c>
      <c r="C303" s="33" t="s">
        <v>59</v>
      </c>
      <c r="D303" s="34" t="s">
        <v>60</v>
      </c>
      <c r="E303" s="20" t="s">
        <v>528</v>
      </c>
      <c r="F303" s="34" t="s">
        <v>62</v>
      </c>
      <c r="G303" s="22"/>
      <c r="H303" s="22"/>
      <c r="I303" s="22"/>
      <c r="J303" s="22"/>
      <c r="K303" s="22"/>
      <c r="L303" s="20" t="s">
        <v>53</v>
      </c>
      <c r="M303" s="22"/>
      <c r="N303" s="22" t="s">
        <v>529</v>
      </c>
      <c r="O303" s="23" t="s">
        <v>530</v>
      </c>
      <c r="P303" s="18" t="s">
        <v>65</v>
      </c>
      <c r="Q303" s="72"/>
      <c r="R303" s="72"/>
      <c r="S303" s="35">
        <v>5</v>
      </c>
      <c r="T303" s="26"/>
      <c r="U303" s="26"/>
      <c r="V303" s="35">
        <v>5</v>
      </c>
      <c r="W303" s="154"/>
      <c r="X303" s="35">
        <v>5</v>
      </c>
      <c r="Y303" s="26">
        <f>T303+R303+Q303+U303+W303</f>
        <v>0</v>
      </c>
      <c r="Z303" s="27">
        <v>35</v>
      </c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>
        <f>SUM(AM303:AS303)</f>
        <v>0</v>
      </c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72">
        <f>Y303-AV303-AX303-AW303</f>
        <v>0</v>
      </c>
      <c r="AZ303" s="68"/>
      <c r="BA303" s="26">
        <f>AL303+AG303+AA303+AT303</f>
        <v>0</v>
      </c>
      <c r="BB303" s="30">
        <f>BD303+AO303+AG303</f>
        <v>0</v>
      </c>
      <c r="BC303" s="30">
        <f>BD303+AS303</f>
        <v>0</v>
      </c>
      <c r="BD303" s="30">
        <f>IF(BA303&gt;0,Y303-BA303,BA303)</f>
        <v>0</v>
      </c>
      <c r="BE303" s="31">
        <v>37</v>
      </c>
      <c r="BF303" s="30" t="s">
        <v>57</v>
      </c>
      <c r="BG303" s="31">
        <f>BE303*Q303</f>
        <v>0</v>
      </c>
      <c r="BH303" s="31">
        <f>BE303*R303*0.4</f>
        <v>0</v>
      </c>
      <c r="BI303" s="142"/>
      <c r="BJ303" s="142"/>
      <c r="BK303" s="32">
        <f>Y303*BE303</f>
        <v>0</v>
      </c>
      <c r="BL303" s="35">
        <v>5</v>
      </c>
      <c r="BM303" s="35">
        <v>5</v>
      </c>
      <c r="BN303" s="35">
        <v>5</v>
      </c>
      <c r="BO303" s="35">
        <v>5</v>
      </c>
      <c r="BP303" s="25">
        <f>BE303*AV303</f>
        <v>0</v>
      </c>
      <c r="BQ303" s="25">
        <f>BE303*AX303</f>
        <v>0</v>
      </c>
      <c r="BR303" s="26"/>
      <c r="BS303" s="32"/>
    </row>
    <row r="304" spans="1:71" s="6" customFormat="1" ht="41.25" customHeight="1">
      <c r="A304" s="18">
        <v>301</v>
      </c>
      <c r="B304" s="18" t="s">
        <v>94</v>
      </c>
      <c r="C304" s="66" t="s">
        <v>215</v>
      </c>
      <c r="D304" s="18" t="s">
        <v>96</v>
      </c>
      <c r="E304" s="20" t="s">
        <v>216</v>
      </c>
      <c r="F304" s="21" t="s">
        <v>52</v>
      </c>
      <c r="G304" s="21"/>
      <c r="H304" s="50"/>
      <c r="I304" s="50"/>
      <c r="J304" s="50"/>
      <c r="K304" s="50"/>
      <c r="L304" s="20" t="s">
        <v>53</v>
      </c>
      <c r="M304" s="22"/>
      <c r="N304" s="22" t="s">
        <v>534</v>
      </c>
      <c r="O304" s="23" t="s">
        <v>535</v>
      </c>
      <c r="P304" s="18" t="s">
        <v>56</v>
      </c>
      <c r="Q304" s="72"/>
      <c r="R304" s="72"/>
      <c r="S304" s="25"/>
      <c r="T304" s="26"/>
      <c r="U304" s="26"/>
      <c r="V304" s="25"/>
      <c r="W304" s="26"/>
      <c r="X304" s="25">
        <v>200</v>
      </c>
      <c r="Y304" s="26">
        <f>T304+R304+Q304+U304+W304</f>
        <v>0</v>
      </c>
      <c r="Z304" s="27">
        <v>200</v>
      </c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>
        <f>SUM(AM304:AS304)</f>
        <v>0</v>
      </c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72">
        <f>Y304-AV304-AX304-AW304</f>
        <v>0</v>
      </c>
      <c r="AZ304" s="68"/>
      <c r="BA304" s="26">
        <f>AL304+AG304+AA304+AT304</f>
        <v>0</v>
      </c>
      <c r="BB304" s="30">
        <f>BD304+AO304+AG304</f>
        <v>0</v>
      </c>
      <c r="BC304" s="30">
        <f>BD304+AS304</f>
        <v>0</v>
      </c>
      <c r="BD304" s="30">
        <f>IF(BA304&gt;0,Y304-BA304,BA304)</f>
        <v>0</v>
      </c>
      <c r="BE304" s="31"/>
      <c r="BF304" s="30" t="s">
        <v>57</v>
      </c>
      <c r="BG304" s="31">
        <f>BE304*Q304</f>
        <v>0</v>
      </c>
      <c r="BH304" s="31">
        <f>BE304*R304*0.4</f>
        <v>0</v>
      </c>
      <c r="BI304" s="31"/>
      <c r="BJ304" s="31"/>
      <c r="BK304" s="32">
        <f>Y304*BE304</f>
        <v>0</v>
      </c>
      <c r="BL304" s="25"/>
      <c r="BM304" s="25"/>
      <c r="BN304" s="25"/>
      <c r="BO304" s="25"/>
      <c r="BP304" s="25">
        <f>BE304*AV304</f>
        <v>0</v>
      </c>
      <c r="BQ304" s="25">
        <f>BE304*AX304</f>
        <v>0</v>
      </c>
      <c r="BR304" s="26"/>
      <c r="BS304" s="32"/>
    </row>
    <row r="305" spans="1:71" s="6" customFormat="1" ht="41.25" customHeight="1">
      <c r="A305" s="18">
        <v>302</v>
      </c>
      <c r="B305" s="18" t="s">
        <v>94</v>
      </c>
      <c r="C305" s="66" t="s">
        <v>135</v>
      </c>
      <c r="D305" s="18" t="s">
        <v>96</v>
      </c>
      <c r="E305" s="22" t="s">
        <v>136</v>
      </c>
      <c r="F305" s="34" t="s">
        <v>128</v>
      </c>
      <c r="G305" s="34" t="s">
        <v>128</v>
      </c>
      <c r="H305" s="50"/>
      <c r="I305" s="50"/>
      <c r="J305" s="50"/>
      <c r="K305" s="50"/>
      <c r="L305" s="22"/>
      <c r="M305" s="22"/>
      <c r="N305" s="76" t="s">
        <v>536</v>
      </c>
      <c r="O305" s="23"/>
      <c r="P305" s="18" t="s">
        <v>56</v>
      </c>
      <c r="Q305" s="72"/>
      <c r="R305" s="81"/>
      <c r="S305" s="25"/>
      <c r="T305" s="26"/>
      <c r="U305" s="26"/>
      <c r="V305" s="25"/>
      <c r="W305" s="29">
        <v>150</v>
      </c>
      <c r="X305" s="25"/>
      <c r="Y305" s="53">
        <f>T305+R305+Q305+U305+W305</f>
        <v>150</v>
      </c>
      <c r="Z305" s="27">
        <v>200</v>
      </c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>
        <f>SUM(AM305:AS305)</f>
        <v>0</v>
      </c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9">
        <f>Y305-AV305-AX305-AW305</f>
        <v>150</v>
      </c>
      <c r="AZ305" s="29">
        <f ca="1">'Layout for shadhous 1&amp;2'!C73</f>
        <v>150</v>
      </c>
      <c r="BA305" s="26">
        <f>AL305+AG305+AA305+AT305</f>
        <v>0</v>
      </c>
      <c r="BB305" s="30">
        <f>BD305+AO305+AG305</f>
        <v>0</v>
      </c>
      <c r="BC305" s="30">
        <f>BD305+AS305</f>
        <v>0</v>
      </c>
      <c r="BD305" s="30">
        <f>IF(BA305&gt;0,Y305-BA305,BA305)</f>
        <v>0</v>
      </c>
      <c r="BE305" s="31">
        <v>5</v>
      </c>
      <c r="BF305" s="30" t="s">
        <v>57</v>
      </c>
      <c r="BG305" s="31">
        <f>BE305*Q305</f>
        <v>0</v>
      </c>
      <c r="BH305" s="31">
        <f>BE305*R305*0.4</f>
        <v>0</v>
      </c>
      <c r="BI305" s="142"/>
      <c r="BJ305" s="142"/>
      <c r="BK305" s="32">
        <f>Y305*BE305</f>
        <v>750</v>
      </c>
      <c r="BL305" s="25">
        <v>200</v>
      </c>
      <c r="BM305" s="25"/>
      <c r="BN305" s="25"/>
      <c r="BO305" s="25"/>
      <c r="BP305" s="25">
        <f>BE305*AV305</f>
        <v>0</v>
      </c>
      <c r="BQ305" s="25">
        <f>BE305*AX305</f>
        <v>0</v>
      </c>
      <c r="BR305" s="28">
        <f>26+43</f>
        <v>69</v>
      </c>
      <c r="BS305" s="32"/>
    </row>
    <row r="306" spans="1:71" s="6" customFormat="1" ht="41.25" customHeight="1">
      <c r="A306" s="18">
        <v>303</v>
      </c>
      <c r="B306" s="74" t="s">
        <v>94</v>
      </c>
      <c r="C306" s="44" t="s">
        <v>135</v>
      </c>
      <c r="D306" s="18" t="s">
        <v>96</v>
      </c>
      <c r="E306" s="55" t="s">
        <v>136</v>
      </c>
      <c r="F306" s="34" t="s">
        <v>128</v>
      </c>
      <c r="G306" s="34" t="s">
        <v>128</v>
      </c>
      <c r="H306" s="50"/>
      <c r="I306" s="50"/>
      <c r="J306" s="50"/>
      <c r="K306" s="50"/>
      <c r="L306" s="20" t="s">
        <v>53</v>
      </c>
      <c r="M306" s="22"/>
      <c r="N306" s="76" t="s">
        <v>537</v>
      </c>
      <c r="O306" s="23" t="s">
        <v>538</v>
      </c>
      <c r="P306" s="18" t="s">
        <v>56</v>
      </c>
      <c r="Q306" s="72"/>
      <c r="R306" s="81"/>
      <c r="S306" s="25"/>
      <c r="T306" s="26"/>
      <c r="U306" s="26"/>
      <c r="V306" s="25"/>
      <c r="W306" s="26"/>
      <c r="X306" s="25"/>
      <c r="Y306" s="26">
        <f>T306+R306+Q306+U306+W306</f>
        <v>0</v>
      </c>
      <c r="Z306" s="27">
        <v>200</v>
      </c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>
        <f>SUM(AM306:AS306)</f>
        <v>0</v>
      </c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72">
        <f>Y306-AV306-AX306-AW306</f>
        <v>0</v>
      </c>
      <c r="AZ306" s="68"/>
      <c r="BA306" s="26">
        <f>AL306+AG306+AA306+AT306</f>
        <v>0</v>
      </c>
      <c r="BB306" s="30">
        <f>BD306+AO306+AG306</f>
        <v>0</v>
      </c>
      <c r="BC306" s="30">
        <f>BD306+AS306</f>
        <v>0</v>
      </c>
      <c r="BD306" s="30">
        <f>IF(BA306&gt;0,Y306-BA306,BA306)</f>
        <v>0</v>
      </c>
      <c r="BE306" s="31">
        <v>6</v>
      </c>
      <c r="BF306" s="30" t="s">
        <v>57</v>
      </c>
      <c r="BG306" s="31">
        <f>BE306*Q306</f>
        <v>0</v>
      </c>
      <c r="BH306" s="31">
        <f>BE306*R306*0.4</f>
        <v>0</v>
      </c>
      <c r="BI306" s="31"/>
      <c r="BJ306" s="31"/>
      <c r="BK306" s="32">
        <f>Y306*BE306</f>
        <v>0</v>
      </c>
      <c r="BL306" s="25"/>
      <c r="BM306" s="25">
        <v>200</v>
      </c>
      <c r="BN306" s="25"/>
      <c r="BO306" s="25"/>
      <c r="BP306" s="25">
        <f>BE306*AV306</f>
        <v>0</v>
      </c>
      <c r="BQ306" s="25">
        <f>BE306*AX306</f>
        <v>0</v>
      </c>
      <c r="BR306" s="26"/>
      <c r="BS306" s="32"/>
    </row>
    <row r="307" spans="1:71" s="6" customFormat="1" ht="41.25" customHeight="1">
      <c r="A307" s="18">
        <v>304</v>
      </c>
      <c r="B307" s="50" t="s">
        <v>94</v>
      </c>
      <c r="C307" s="44" t="s">
        <v>209</v>
      </c>
      <c r="D307" s="18" t="s">
        <v>96</v>
      </c>
      <c r="E307" s="55" t="s">
        <v>437</v>
      </c>
      <c r="F307" s="44" t="s">
        <v>209</v>
      </c>
      <c r="G307" s="34" t="s">
        <v>128</v>
      </c>
      <c r="H307" s="50"/>
      <c r="I307" s="50"/>
      <c r="J307" s="50"/>
      <c r="K307" s="50"/>
      <c r="L307" s="20" t="s">
        <v>53</v>
      </c>
      <c r="M307" s="22"/>
      <c r="N307" s="22" t="s">
        <v>539</v>
      </c>
      <c r="O307" s="23" t="s">
        <v>540</v>
      </c>
      <c r="P307" s="18" t="s">
        <v>56</v>
      </c>
      <c r="Q307" s="72"/>
      <c r="R307" s="72"/>
      <c r="S307" s="25"/>
      <c r="T307" s="26"/>
      <c r="U307" s="26"/>
      <c r="V307" s="25"/>
      <c r="W307" s="26"/>
      <c r="X307" s="25"/>
      <c r="Y307" s="26">
        <f>T307+R307+Q307+U307+W307</f>
        <v>0</v>
      </c>
      <c r="Z307" s="27">
        <v>200</v>
      </c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>
        <f>SUM(AM307:AS307)</f>
        <v>0</v>
      </c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72">
        <f>Y307-AV307-AX307-AW307</f>
        <v>0</v>
      </c>
      <c r="AZ307" s="68"/>
      <c r="BA307" s="26">
        <f>AL307+AG307+AA307+AT307</f>
        <v>0</v>
      </c>
      <c r="BB307" s="30">
        <f>BD307+AO307+AG307</f>
        <v>0</v>
      </c>
      <c r="BC307" s="30">
        <f>BD307+AS307</f>
        <v>0</v>
      </c>
      <c r="BD307" s="30">
        <f>IF(BA307&gt;0,Y307-BA307,BA307)</f>
        <v>0</v>
      </c>
      <c r="BE307" s="31"/>
      <c r="BF307" s="30" t="s">
        <v>57</v>
      </c>
      <c r="BG307" s="31">
        <f>BE307*Q307</f>
        <v>0</v>
      </c>
      <c r="BH307" s="31">
        <f>BE307*R307*0.4</f>
        <v>0</v>
      </c>
      <c r="BI307" s="31"/>
      <c r="BJ307" s="31"/>
      <c r="BK307" s="32">
        <f>Y307*BE307</f>
        <v>0</v>
      </c>
      <c r="BL307" s="25"/>
      <c r="BM307" s="25"/>
      <c r="BN307" s="25"/>
      <c r="BO307" s="25">
        <v>200</v>
      </c>
      <c r="BP307" s="25">
        <f>BE307*AV307</f>
        <v>0</v>
      </c>
      <c r="BQ307" s="25">
        <f>BE307*AX307</f>
        <v>0</v>
      </c>
      <c r="BR307" s="26"/>
      <c r="BS307" s="32"/>
    </row>
    <row r="308" spans="1:71" s="6" customFormat="1" ht="41.25" customHeight="1">
      <c r="A308" s="18">
        <v>305</v>
      </c>
      <c r="B308" s="18" t="s">
        <v>94</v>
      </c>
      <c r="C308" s="18" t="s">
        <v>485</v>
      </c>
      <c r="D308" s="18" t="s">
        <v>96</v>
      </c>
      <c r="E308" s="22" t="s">
        <v>486</v>
      </c>
      <c r="F308" s="58" t="s">
        <v>146</v>
      </c>
      <c r="G308" s="58"/>
      <c r="H308" s="22"/>
      <c r="I308" s="22"/>
      <c r="J308" s="22"/>
      <c r="K308" s="22"/>
      <c r="L308" s="22"/>
      <c r="M308" s="22"/>
      <c r="N308" s="22" t="s">
        <v>541</v>
      </c>
      <c r="O308" s="23"/>
      <c r="P308" s="18" t="s">
        <v>56</v>
      </c>
      <c r="Q308" s="72"/>
      <c r="R308" s="72"/>
      <c r="S308" s="25">
        <v>40</v>
      </c>
      <c r="T308" s="26"/>
      <c r="U308" s="26"/>
      <c r="V308" s="25">
        <v>40</v>
      </c>
      <c r="W308" s="26"/>
      <c r="X308" s="25">
        <v>40</v>
      </c>
      <c r="Y308" s="26">
        <f>T308+R308+Q308+U308+W308</f>
        <v>0</v>
      </c>
      <c r="Z308" s="27">
        <v>280</v>
      </c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>
        <f>SUM(AM308:AS308)</f>
        <v>0</v>
      </c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72">
        <f>Y308-AV308-AX308-AW308</f>
        <v>0</v>
      </c>
      <c r="AZ308" s="68"/>
      <c r="BA308" s="26">
        <f>AL308+AG308+AA308+AT308</f>
        <v>0</v>
      </c>
      <c r="BB308" s="30">
        <f>BD308+AO308+AG308</f>
        <v>0</v>
      </c>
      <c r="BC308" s="30">
        <f>BD308+AS308</f>
        <v>0</v>
      </c>
      <c r="BD308" s="30">
        <f>IF(BA308&gt;0,Y308-BA308,BA308)</f>
        <v>0</v>
      </c>
      <c r="BE308" s="31">
        <v>8</v>
      </c>
      <c r="BF308" s="30" t="s">
        <v>57</v>
      </c>
      <c r="BG308" s="31">
        <f>BE308*Q308</f>
        <v>0</v>
      </c>
      <c r="BH308" s="31">
        <f>BE308*R308*0.4</f>
        <v>0</v>
      </c>
      <c r="BI308" s="31"/>
      <c r="BJ308" s="31"/>
      <c r="BK308" s="32">
        <f>Y308*BE308</f>
        <v>0</v>
      </c>
      <c r="BL308" s="25">
        <v>40</v>
      </c>
      <c r="BM308" s="25">
        <v>40</v>
      </c>
      <c r="BN308" s="25">
        <v>40</v>
      </c>
      <c r="BO308" s="25">
        <v>40</v>
      </c>
      <c r="BP308" s="25">
        <f>BE308*AV308</f>
        <v>0</v>
      </c>
      <c r="BQ308" s="25">
        <f>BE308*AX308</f>
        <v>0</v>
      </c>
      <c r="BR308" s="28"/>
      <c r="BS308" s="32"/>
    </row>
    <row r="309" spans="1:71" s="6" customFormat="1" ht="41.25" customHeight="1">
      <c r="A309" s="18">
        <v>306</v>
      </c>
      <c r="B309" s="50" t="s">
        <v>94</v>
      </c>
      <c r="C309" s="44" t="s">
        <v>135</v>
      </c>
      <c r="D309" s="18" t="s">
        <v>96</v>
      </c>
      <c r="E309" s="55" t="s">
        <v>136</v>
      </c>
      <c r="F309" s="34" t="s">
        <v>128</v>
      </c>
      <c r="G309" s="34" t="s">
        <v>128</v>
      </c>
      <c r="H309" s="50"/>
      <c r="I309" s="50"/>
      <c r="J309" s="50"/>
      <c r="K309" s="50"/>
      <c r="L309" s="20" t="s">
        <v>53</v>
      </c>
      <c r="M309" s="22"/>
      <c r="N309" s="22" t="s">
        <v>542</v>
      </c>
      <c r="O309" s="23"/>
      <c r="P309" s="18" t="s">
        <v>56</v>
      </c>
      <c r="Q309" s="72"/>
      <c r="R309" s="72"/>
      <c r="S309" s="25"/>
      <c r="T309" s="26"/>
      <c r="U309" s="26"/>
      <c r="V309" s="25"/>
      <c r="W309" s="26"/>
      <c r="X309" s="25"/>
      <c r="Y309" s="26">
        <f>T309+R309+Q309+U309+W309</f>
        <v>0</v>
      </c>
      <c r="Z309" s="27">
        <v>200</v>
      </c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>
        <f>SUM(AM309:AS309)</f>
        <v>0</v>
      </c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72">
        <f>Y309-AV309-AX309-AW309</f>
        <v>0</v>
      </c>
      <c r="AZ309" s="68"/>
      <c r="BA309" s="26">
        <f>AL309+AG309+AA309+AT309</f>
        <v>0</v>
      </c>
      <c r="BB309" s="30">
        <f>BD309+AO309+AG309</f>
        <v>0</v>
      </c>
      <c r="BC309" s="30">
        <f>BD309+AS309</f>
        <v>0</v>
      </c>
      <c r="BD309" s="30">
        <f>IF(BA309&gt;0,Y309-BA309,BA309)</f>
        <v>0</v>
      </c>
      <c r="BE309" s="31"/>
      <c r="BF309" s="30" t="s">
        <v>57</v>
      </c>
      <c r="BG309" s="31">
        <f>BE309*Q309</f>
        <v>0</v>
      </c>
      <c r="BH309" s="31">
        <f>BE309*R309*0.4</f>
        <v>0</v>
      </c>
      <c r="BI309" s="142"/>
      <c r="BJ309" s="142"/>
      <c r="BK309" s="32">
        <f>Y309*BE309</f>
        <v>0</v>
      </c>
      <c r="BL309" s="25"/>
      <c r="BM309" s="25"/>
      <c r="BN309" s="25">
        <v>200</v>
      </c>
      <c r="BO309" s="25"/>
      <c r="BP309" s="25">
        <f>BE309*AV309</f>
        <v>0</v>
      </c>
      <c r="BQ309" s="25">
        <f>BE309*AX309</f>
        <v>0</v>
      </c>
      <c r="BR309" s="26"/>
      <c r="BS309" s="32"/>
    </row>
    <row r="310" spans="1:71" s="6" customFormat="1" ht="41.25" customHeight="1">
      <c r="A310" s="18">
        <v>307</v>
      </c>
      <c r="B310" s="18" t="s">
        <v>58</v>
      </c>
      <c r="C310" s="33" t="s">
        <v>59</v>
      </c>
      <c r="D310" s="34" t="s">
        <v>60</v>
      </c>
      <c r="E310" s="20" t="s">
        <v>528</v>
      </c>
      <c r="F310" s="34" t="s">
        <v>62</v>
      </c>
      <c r="G310" s="22"/>
      <c r="H310" s="22"/>
      <c r="I310" s="22"/>
      <c r="J310" s="22"/>
      <c r="K310" s="22"/>
      <c r="L310" s="20" t="s">
        <v>53</v>
      </c>
      <c r="M310" s="22"/>
      <c r="N310" s="22" t="s">
        <v>545</v>
      </c>
      <c r="O310" s="23" t="s">
        <v>546</v>
      </c>
      <c r="P310" s="18" t="s">
        <v>65</v>
      </c>
      <c r="Q310" s="147"/>
      <c r="R310" s="72"/>
      <c r="S310" s="35">
        <v>15</v>
      </c>
      <c r="T310" s="26"/>
      <c r="U310" s="26"/>
      <c r="V310" s="35">
        <v>15</v>
      </c>
      <c r="W310" s="154"/>
      <c r="X310" s="35">
        <v>15</v>
      </c>
      <c r="Y310" s="26">
        <f>T310+R310+Q310+U310+W310</f>
        <v>0</v>
      </c>
      <c r="Z310" s="27">
        <v>105</v>
      </c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>
        <f>SUM(AM310:AS310)</f>
        <v>0</v>
      </c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72">
        <f>Y310-AV310-AX310-AW310</f>
        <v>0</v>
      </c>
      <c r="AZ310" s="68"/>
      <c r="BA310" s="26">
        <f>AL310+AG310+AA310+AT310</f>
        <v>0</v>
      </c>
      <c r="BB310" s="30">
        <f>BD310+AO310+AG310</f>
        <v>0</v>
      </c>
      <c r="BC310" s="30">
        <f>BD310+AS310</f>
        <v>0</v>
      </c>
      <c r="BD310" s="30">
        <f>IF(BA310&gt;0,Y310-BA310,BA310)</f>
        <v>0</v>
      </c>
      <c r="BE310" s="31">
        <v>56</v>
      </c>
      <c r="BF310" s="30" t="s">
        <v>57</v>
      </c>
      <c r="BG310" s="31">
        <f>BE310*Q310</f>
        <v>0</v>
      </c>
      <c r="BH310" s="31">
        <f>BE310*R310*0.4</f>
        <v>0</v>
      </c>
      <c r="BI310" s="142"/>
      <c r="BJ310" s="142"/>
      <c r="BK310" s="32">
        <f>Y310*BE310</f>
        <v>0</v>
      </c>
      <c r="BL310" s="35">
        <v>15</v>
      </c>
      <c r="BM310" s="35">
        <v>15</v>
      </c>
      <c r="BN310" s="35">
        <v>15</v>
      </c>
      <c r="BO310" s="35">
        <v>15</v>
      </c>
      <c r="BP310" s="25">
        <f>BE310*AV310</f>
        <v>0</v>
      </c>
      <c r="BQ310" s="25">
        <f>BE310*AX310</f>
        <v>0</v>
      </c>
      <c r="BR310" s="26"/>
      <c r="BS310" s="32"/>
    </row>
    <row r="311" spans="1:71" s="6" customFormat="1" ht="41.25" customHeight="1">
      <c r="A311" s="18">
        <v>308</v>
      </c>
      <c r="B311" s="18" t="s">
        <v>94</v>
      </c>
      <c r="C311" s="18" t="s">
        <v>200</v>
      </c>
      <c r="D311" s="18" t="s">
        <v>96</v>
      </c>
      <c r="E311" s="20" t="s">
        <v>456</v>
      </c>
      <c r="F311" s="48" t="s">
        <v>98</v>
      </c>
      <c r="G311" s="48"/>
      <c r="H311" s="22"/>
      <c r="I311" s="22"/>
      <c r="J311" s="22"/>
      <c r="K311" s="22"/>
      <c r="L311" s="20" t="s">
        <v>53</v>
      </c>
      <c r="M311" s="22"/>
      <c r="N311" s="22" t="s">
        <v>552</v>
      </c>
      <c r="O311" s="23"/>
      <c r="P311" s="18" t="s">
        <v>56</v>
      </c>
      <c r="Q311" s="72"/>
      <c r="R311" s="72"/>
      <c r="S311" s="25">
        <v>40</v>
      </c>
      <c r="T311" s="26"/>
      <c r="U311" s="26"/>
      <c r="V311" s="25">
        <v>40</v>
      </c>
      <c r="W311" s="26"/>
      <c r="X311" s="25">
        <v>20</v>
      </c>
      <c r="Y311" s="26">
        <f>T311+R311+Q311+U311+W311</f>
        <v>0</v>
      </c>
      <c r="Z311" s="27">
        <v>280</v>
      </c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>
        <f>SUM(AM311:AS311)</f>
        <v>0</v>
      </c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72">
        <f>Y311-AV311-AX311-AW311</f>
        <v>0</v>
      </c>
      <c r="AZ311" s="68"/>
      <c r="BA311" s="26">
        <f>AL311+AG311+AA311+AT311</f>
        <v>0</v>
      </c>
      <c r="BB311" s="30">
        <f>BD311+AO311+AG311</f>
        <v>0</v>
      </c>
      <c r="BC311" s="30">
        <f>BD311+AS311</f>
        <v>0</v>
      </c>
      <c r="BD311" s="30">
        <f>IF(BA311&gt;0,Y311-BA311,BA311)</f>
        <v>0</v>
      </c>
      <c r="BE311" s="31">
        <v>8</v>
      </c>
      <c r="BF311" s="30" t="s">
        <v>57</v>
      </c>
      <c r="BG311" s="31">
        <f>BE311*Q311</f>
        <v>0</v>
      </c>
      <c r="BH311" s="31">
        <f>BE311*R311*0.4</f>
        <v>0</v>
      </c>
      <c r="BI311" s="142"/>
      <c r="BJ311" s="142"/>
      <c r="BK311" s="32">
        <f>Y311*BE311</f>
        <v>0</v>
      </c>
      <c r="BL311" s="25">
        <v>20</v>
      </c>
      <c r="BM311" s="25">
        <v>20</v>
      </c>
      <c r="BN311" s="25">
        <v>20</v>
      </c>
      <c r="BO311" s="25">
        <v>20</v>
      </c>
      <c r="BP311" s="25">
        <f>BE311*AV311</f>
        <v>0</v>
      </c>
      <c r="BQ311" s="25">
        <f>BE311*AX311</f>
        <v>0</v>
      </c>
      <c r="BR311" s="26"/>
      <c r="BS311" s="32"/>
    </row>
    <row r="312" spans="1:71" s="6" customFormat="1" ht="41.25" customHeight="1">
      <c r="A312" s="18">
        <v>309</v>
      </c>
      <c r="B312" s="18" t="s">
        <v>66</v>
      </c>
      <c r="C312" s="18" t="s">
        <v>139</v>
      </c>
      <c r="D312" s="56" t="s">
        <v>50</v>
      </c>
      <c r="E312" s="20" t="s">
        <v>553</v>
      </c>
      <c r="F312" s="21" t="s">
        <v>52</v>
      </c>
      <c r="G312" s="21"/>
      <c r="H312" s="22">
        <v>120</v>
      </c>
      <c r="I312" s="22">
        <v>200</v>
      </c>
      <c r="J312" s="22"/>
      <c r="K312" s="22"/>
      <c r="L312" s="20" t="s">
        <v>53</v>
      </c>
      <c r="M312" s="22"/>
      <c r="N312" s="22" t="s">
        <v>554</v>
      </c>
      <c r="O312" s="23" t="s">
        <v>555</v>
      </c>
      <c r="P312" s="18" t="s">
        <v>56</v>
      </c>
      <c r="Q312" s="72"/>
      <c r="R312" s="72"/>
      <c r="S312" s="25">
        <v>920</v>
      </c>
      <c r="T312" s="26"/>
      <c r="U312" s="26"/>
      <c r="V312" s="25">
        <v>920</v>
      </c>
      <c r="W312" s="26"/>
      <c r="X312" s="25">
        <v>552</v>
      </c>
      <c r="Y312" s="26">
        <f>T312+R312+Q312+U312+W312</f>
        <v>0</v>
      </c>
      <c r="Z312" s="27">
        <v>4600</v>
      </c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>
        <f>SUM(AM312:AS312)</f>
        <v>0</v>
      </c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72">
        <f>Y312-AV312-AX312-AW312</f>
        <v>0</v>
      </c>
      <c r="AZ312" s="68"/>
      <c r="BA312" s="26">
        <f>AL312+AG312+AA312+AT312</f>
        <v>0</v>
      </c>
      <c r="BB312" s="30">
        <f>BD312+AO312+AG312</f>
        <v>0</v>
      </c>
      <c r="BC312" s="30">
        <f>BD312+AS312</f>
        <v>0</v>
      </c>
      <c r="BD312" s="30">
        <f>IF(BA312&gt;0,Y312-BA312,BA312)</f>
        <v>0</v>
      </c>
      <c r="BE312" s="31">
        <v>30</v>
      </c>
      <c r="BF312" s="30" t="s">
        <v>57</v>
      </c>
      <c r="BG312" s="31">
        <f>BE312*Q312</f>
        <v>0</v>
      </c>
      <c r="BH312" s="31">
        <f>BE312*R312*0.4</f>
        <v>0</v>
      </c>
      <c r="BI312" s="142"/>
      <c r="BJ312" s="142"/>
      <c r="BK312" s="32">
        <f>Y312*BE312</f>
        <v>0</v>
      </c>
      <c r="BL312" s="25">
        <v>552</v>
      </c>
      <c r="BM312" s="25">
        <v>552</v>
      </c>
      <c r="BN312" s="25">
        <v>552</v>
      </c>
      <c r="BO312" s="25">
        <v>552</v>
      </c>
      <c r="BP312" s="25">
        <f>BE312*AV312</f>
        <v>0</v>
      </c>
      <c r="BQ312" s="25">
        <f>BE312*AX312</f>
        <v>0</v>
      </c>
      <c r="BR312" s="28"/>
      <c r="BS312" s="32"/>
    </row>
    <row r="313" spans="1:71" s="6" customFormat="1" ht="41.25" customHeight="1">
      <c r="A313" s="18">
        <v>310</v>
      </c>
      <c r="B313" s="18" t="s">
        <v>87</v>
      </c>
      <c r="C313" s="18" t="s">
        <v>88</v>
      </c>
      <c r="D313" s="47" t="s">
        <v>89</v>
      </c>
      <c r="E313" s="20" t="s">
        <v>446</v>
      </c>
      <c r="F313" s="36" t="s">
        <v>70</v>
      </c>
      <c r="G313" s="36"/>
      <c r="H313" s="22"/>
      <c r="I313" s="37" t="s">
        <v>91</v>
      </c>
      <c r="J313" s="37"/>
      <c r="K313" s="37"/>
      <c r="L313" s="20" t="s">
        <v>53</v>
      </c>
      <c r="M313" s="22"/>
      <c r="N313" s="22" t="s">
        <v>560</v>
      </c>
      <c r="O313" s="23" t="s">
        <v>561</v>
      </c>
      <c r="P313" s="18" t="s">
        <v>56</v>
      </c>
      <c r="Q313" s="147"/>
      <c r="R313" s="72"/>
      <c r="S313" s="25">
        <v>5</v>
      </c>
      <c r="T313" s="26"/>
      <c r="U313" s="26"/>
      <c r="V313" s="25"/>
      <c r="W313" s="26"/>
      <c r="X313" s="25"/>
      <c r="Y313" s="26">
        <f>T313+R313+Q313+U313+W313</f>
        <v>0</v>
      </c>
      <c r="Z313" s="27">
        <v>5</v>
      </c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>
        <f>SUM(AM313:AS313)</f>
        <v>0</v>
      </c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72">
        <f>Y313-AV313-AX313-AW313</f>
        <v>0</v>
      </c>
      <c r="AZ313" s="68"/>
      <c r="BA313" s="26">
        <f>AL313+AG313+AA313+AT313</f>
        <v>0</v>
      </c>
      <c r="BB313" s="30">
        <f>BD313+AO313+AG313</f>
        <v>0</v>
      </c>
      <c r="BC313" s="30">
        <f>BD313+AS313</f>
        <v>0</v>
      </c>
      <c r="BD313" s="30">
        <f>IF(BA313&gt;0,Y313-BA313,BA313)</f>
        <v>0</v>
      </c>
      <c r="BE313" s="31">
        <v>690</v>
      </c>
      <c r="BF313" s="30" t="s">
        <v>57</v>
      </c>
      <c r="BG313" s="31">
        <f>BE313*Q313</f>
        <v>0</v>
      </c>
      <c r="BH313" s="31">
        <f>BE313*R313*0.4</f>
        <v>0</v>
      </c>
      <c r="BI313" s="142"/>
      <c r="BJ313" s="142"/>
      <c r="BK313" s="32">
        <f>Y313*BE313</f>
        <v>0</v>
      </c>
      <c r="BL313" s="25"/>
      <c r="BM313" s="25"/>
      <c r="BN313" s="25"/>
      <c r="BO313" s="25"/>
      <c r="BP313" s="25">
        <f>BE313*AV313</f>
        <v>0</v>
      </c>
      <c r="BQ313" s="25">
        <f>BE313*AX313</f>
        <v>0</v>
      </c>
      <c r="BR313" s="28"/>
      <c r="BS313" s="32"/>
    </row>
    <row r="314" spans="1:71" s="6" customFormat="1" ht="41.25" customHeight="1">
      <c r="A314" s="18">
        <v>311</v>
      </c>
      <c r="B314" s="18" t="s">
        <v>94</v>
      </c>
      <c r="C314" s="18" t="s">
        <v>121</v>
      </c>
      <c r="D314" s="18" t="s">
        <v>96</v>
      </c>
      <c r="E314" s="22" t="s">
        <v>562</v>
      </c>
      <c r="F314" s="52" t="s">
        <v>123</v>
      </c>
      <c r="G314" s="52"/>
      <c r="H314" s="22"/>
      <c r="I314" s="22"/>
      <c r="J314" s="22"/>
      <c r="K314" s="22"/>
      <c r="L314" s="22"/>
      <c r="M314" s="22"/>
      <c r="N314" s="22" t="s">
        <v>563</v>
      </c>
      <c r="O314" s="23"/>
      <c r="P314" s="38" t="s">
        <v>56</v>
      </c>
      <c r="Q314" s="29">
        <v>40</v>
      </c>
      <c r="R314" s="72"/>
      <c r="S314" s="40">
        <v>40</v>
      </c>
      <c r="T314" s="26"/>
      <c r="U314" s="26"/>
      <c r="V314" s="25">
        <v>40</v>
      </c>
      <c r="W314" s="26"/>
      <c r="X314" s="25">
        <v>40</v>
      </c>
      <c r="Y314" s="53">
        <f>T314+R314+Q314+U314+W314</f>
        <v>40</v>
      </c>
      <c r="Z314" s="27">
        <v>280</v>
      </c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>
        <f>SUM(AM314:AS314)</f>
        <v>0</v>
      </c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9">
        <f>Y314-AV314-AX314-AW314</f>
        <v>40</v>
      </c>
      <c r="AZ314" s="29">
        <f>'Layout for shadhous 3'!I52</f>
        <v>0</v>
      </c>
      <c r="BA314" s="26">
        <f>AL314+AG314+AA314+AT314</f>
        <v>0</v>
      </c>
      <c r="BB314" s="30">
        <f>BD314+AO314+AG314</f>
        <v>0</v>
      </c>
      <c r="BC314" s="30">
        <f>BD314+AS314</f>
        <v>0</v>
      </c>
      <c r="BD314" s="30">
        <f>IF(BA314&gt;0,Y314-BA314,BA314)</f>
        <v>0</v>
      </c>
      <c r="BE314" s="31">
        <v>5</v>
      </c>
      <c r="BF314" s="30" t="s">
        <v>57</v>
      </c>
      <c r="BG314" s="31">
        <f>BE314*Q314</f>
        <v>200</v>
      </c>
      <c r="BH314" s="31">
        <f>BE314*R314*0.4</f>
        <v>0</v>
      </c>
      <c r="BI314" s="31"/>
      <c r="BJ314" s="31"/>
      <c r="BK314" s="32">
        <f>Y314*BE314</f>
        <v>200</v>
      </c>
      <c r="BL314" s="25">
        <v>40</v>
      </c>
      <c r="BM314" s="25">
        <v>40</v>
      </c>
      <c r="BN314" s="25">
        <v>40</v>
      </c>
      <c r="BO314" s="25">
        <v>40</v>
      </c>
      <c r="BP314" s="25">
        <f>BE314*AV314</f>
        <v>0</v>
      </c>
      <c r="BQ314" s="25">
        <f>BE314*AX314</f>
        <v>0</v>
      </c>
      <c r="BR314" s="28"/>
      <c r="BS314" s="32"/>
    </row>
    <row r="315" spans="1:71" s="6" customFormat="1" ht="41.25" customHeight="1">
      <c r="A315" s="18">
        <v>312</v>
      </c>
      <c r="B315" s="18" t="s">
        <v>94</v>
      </c>
      <c r="C315" s="18" t="s">
        <v>144</v>
      </c>
      <c r="D315" s="18" t="s">
        <v>96</v>
      </c>
      <c r="E315" s="22" t="s">
        <v>450</v>
      </c>
      <c r="F315" s="58" t="s">
        <v>146</v>
      </c>
      <c r="G315" s="58"/>
      <c r="H315" s="22"/>
      <c r="I315" s="22"/>
      <c r="J315" s="22"/>
      <c r="K315" s="22"/>
      <c r="L315" s="22"/>
      <c r="M315" s="22"/>
      <c r="N315" s="22" t="s">
        <v>568</v>
      </c>
      <c r="O315" s="23"/>
      <c r="P315" s="38" t="s">
        <v>56</v>
      </c>
      <c r="Q315" s="29">
        <v>56</v>
      </c>
      <c r="R315" s="72"/>
      <c r="S315" s="40">
        <v>60</v>
      </c>
      <c r="T315" s="26"/>
      <c r="U315" s="26"/>
      <c r="V315" s="25">
        <v>60</v>
      </c>
      <c r="W315" s="26"/>
      <c r="X315" s="25">
        <v>60</v>
      </c>
      <c r="Y315" s="53">
        <f>T315+R315+Q315+U315+W315</f>
        <v>56</v>
      </c>
      <c r="Z315" s="27">
        <v>420</v>
      </c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>
        <f>SUM(AM315:AS315)</f>
        <v>0</v>
      </c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9">
        <f>Y315-AV315-AX315-AW315</f>
        <v>56</v>
      </c>
      <c r="AZ315" s="29">
        <f>'Layout for shadhous 3'!I53</f>
        <v>56</v>
      </c>
      <c r="BA315" s="26">
        <f>AL315+AG315+AA315+AT315</f>
        <v>0</v>
      </c>
      <c r="BB315" s="30">
        <f>BD315+AO315+AG315</f>
        <v>0</v>
      </c>
      <c r="BC315" s="30">
        <f>BD315+AS315</f>
        <v>0</v>
      </c>
      <c r="BD315" s="30">
        <f>IF(BA315&gt;0,Y315-BA315,BA315)</f>
        <v>0</v>
      </c>
      <c r="BE315" s="31">
        <v>405</v>
      </c>
      <c r="BF315" s="30" t="s">
        <v>57</v>
      </c>
      <c r="BG315" s="31">
        <f>BE315*Q315</f>
        <v>22680</v>
      </c>
      <c r="BH315" s="31">
        <f>BE315*R315*0.4</f>
        <v>0</v>
      </c>
      <c r="BI315" s="142"/>
      <c r="BJ315" s="142"/>
      <c r="BK315" s="32">
        <f>Y315*BE315</f>
        <v>22680</v>
      </c>
      <c r="BL315" s="25">
        <v>60</v>
      </c>
      <c r="BM315" s="25">
        <v>60</v>
      </c>
      <c r="BN315" s="25">
        <v>60</v>
      </c>
      <c r="BO315" s="25">
        <v>60</v>
      </c>
      <c r="BP315" s="25">
        <f>BE315*AV315</f>
        <v>0</v>
      </c>
      <c r="BQ315" s="25">
        <f>BE315*AX315</f>
        <v>0</v>
      </c>
      <c r="BR315" s="28"/>
      <c r="BS315" s="32"/>
    </row>
    <row r="316" spans="1:71" s="6" customFormat="1" ht="41.25" customHeight="1">
      <c r="A316" s="18">
        <v>313</v>
      </c>
      <c r="B316" s="18" t="s">
        <v>94</v>
      </c>
      <c r="C316" s="18" t="s">
        <v>144</v>
      </c>
      <c r="D316" s="18" t="s">
        <v>96</v>
      </c>
      <c r="E316" s="20" t="s">
        <v>569</v>
      </c>
      <c r="F316" s="58" t="s">
        <v>146</v>
      </c>
      <c r="G316" s="58"/>
      <c r="H316" s="22"/>
      <c r="I316" s="22"/>
      <c r="J316" s="22"/>
      <c r="K316" s="22"/>
      <c r="L316" s="20" t="s">
        <v>53</v>
      </c>
      <c r="M316" s="22"/>
      <c r="N316" s="22" t="s">
        <v>570</v>
      </c>
      <c r="O316" s="23"/>
      <c r="P316" s="18" t="s">
        <v>56</v>
      </c>
      <c r="Q316" s="72"/>
      <c r="R316" s="72"/>
      <c r="S316" s="25">
        <v>60</v>
      </c>
      <c r="T316" s="26"/>
      <c r="U316" s="26"/>
      <c r="V316" s="25">
        <v>60</v>
      </c>
      <c r="W316" s="26"/>
      <c r="X316" s="25">
        <v>60</v>
      </c>
      <c r="Y316" s="26">
        <f>T316+R316+Q316+U316+W316</f>
        <v>0</v>
      </c>
      <c r="Z316" s="27">
        <v>420</v>
      </c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>
        <f>SUM(AM316:AS316)</f>
        <v>0</v>
      </c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72">
        <f>Y316-AV316-AX316-AW316</f>
        <v>0</v>
      </c>
      <c r="AZ316" s="68"/>
      <c r="BA316" s="26">
        <f>AL316+AG316+AA316+AT316</f>
        <v>0</v>
      </c>
      <c r="BB316" s="30">
        <f>BD316+AO316+AG316</f>
        <v>0</v>
      </c>
      <c r="BC316" s="30">
        <f>BD316+AS316</f>
        <v>0</v>
      </c>
      <c r="BD316" s="30">
        <f>IF(BA316&gt;0,Y316-BA316,BA316)</f>
        <v>0</v>
      </c>
      <c r="BE316" s="31">
        <v>57</v>
      </c>
      <c r="BF316" s="30" t="s">
        <v>57</v>
      </c>
      <c r="BG316" s="31">
        <f>BE316*Q316</f>
        <v>0</v>
      </c>
      <c r="BH316" s="31">
        <f>BE316*R316*0.4</f>
        <v>0</v>
      </c>
      <c r="BI316" s="31"/>
      <c r="BJ316" s="31"/>
      <c r="BK316" s="32">
        <f>Y316*BE316</f>
        <v>0</v>
      </c>
      <c r="BL316" s="25">
        <v>60</v>
      </c>
      <c r="BM316" s="25">
        <v>60</v>
      </c>
      <c r="BN316" s="25">
        <v>60</v>
      </c>
      <c r="BO316" s="25">
        <v>60</v>
      </c>
      <c r="BP316" s="25">
        <f>BE316*AV316</f>
        <v>0</v>
      </c>
      <c r="BQ316" s="25">
        <f>BE316*AX316</f>
        <v>0</v>
      </c>
      <c r="BR316" s="26"/>
      <c r="BS316" s="32"/>
    </row>
    <row r="317" spans="1:71" s="6" customFormat="1" ht="41.25" customHeight="1">
      <c r="A317" s="18">
        <v>314</v>
      </c>
      <c r="B317" s="50" t="s">
        <v>94</v>
      </c>
      <c r="C317" s="44" t="s">
        <v>209</v>
      </c>
      <c r="D317" s="18" t="s">
        <v>96</v>
      </c>
      <c r="E317" s="55" t="s">
        <v>437</v>
      </c>
      <c r="F317" s="44" t="s">
        <v>209</v>
      </c>
      <c r="G317" s="44"/>
      <c r="H317" s="50"/>
      <c r="I317" s="50"/>
      <c r="J317" s="50"/>
      <c r="K317" s="50"/>
      <c r="L317" s="20" t="s">
        <v>53</v>
      </c>
      <c r="M317" s="22"/>
      <c r="N317" s="22" t="s">
        <v>571</v>
      </c>
      <c r="O317" s="23"/>
      <c r="P317" s="18" t="s">
        <v>56</v>
      </c>
      <c r="Q317" s="146"/>
      <c r="R317" s="146"/>
      <c r="S317" s="25"/>
      <c r="T317" s="26"/>
      <c r="U317" s="26"/>
      <c r="V317" s="25">
        <v>200</v>
      </c>
      <c r="W317" s="26"/>
      <c r="X317" s="25"/>
      <c r="Y317" s="26">
        <f>T317+R317+Q317+U317+W317</f>
        <v>0</v>
      </c>
      <c r="Z317" s="27">
        <v>200</v>
      </c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>
        <f>SUM(AM317:AS317)</f>
        <v>0</v>
      </c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72">
        <f>Y317-AV317-AX317-AW317</f>
        <v>0</v>
      </c>
      <c r="AZ317" s="68"/>
      <c r="BA317" s="26">
        <f>AL317+AG317+AA317+AT317</f>
        <v>0</v>
      </c>
      <c r="BB317" s="30">
        <f>BD317+AO317+AG317</f>
        <v>0</v>
      </c>
      <c r="BC317" s="30">
        <f>BD317+AS317</f>
        <v>0</v>
      </c>
      <c r="BD317" s="30">
        <f>IF(BA317&gt;0,Y317-BA317,BA317)</f>
        <v>0</v>
      </c>
      <c r="BE317" s="31"/>
      <c r="BF317" s="30" t="s">
        <v>57</v>
      </c>
      <c r="BG317" s="31">
        <f>BE317*Q317</f>
        <v>0</v>
      </c>
      <c r="BH317" s="31">
        <f>BE317*R317*0.4</f>
        <v>0</v>
      </c>
      <c r="BI317" s="31"/>
      <c r="BJ317" s="31"/>
      <c r="BK317" s="32">
        <f>Y317*BE317</f>
        <v>0</v>
      </c>
      <c r="BL317" s="25"/>
      <c r="BM317" s="25"/>
      <c r="BN317" s="25"/>
      <c r="BO317" s="25"/>
      <c r="BP317" s="25">
        <f>BE317*AV317</f>
        <v>0</v>
      </c>
      <c r="BQ317" s="25">
        <f>BE317*AX317</f>
        <v>0</v>
      </c>
      <c r="BR317" s="28"/>
      <c r="BS317" s="32"/>
    </row>
    <row r="318" spans="1:71" s="6" customFormat="1" ht="41.25" customHeight="1">
      <c r="A318" s="18">
        <v>315</v>
      </c>
      <c r="B318" s="18" t="s">
        <v>94</v>
      </c>
      <c r="C318" s="18" t="s">
        <v>121</v>
      </c>
      <c r="D318" s="18" t="s">
        <v>96</v>
      </c>
      <c r="E318" s="22" t="s">
        <v>562</v>
      </c>
      <c r="F318" s="52" t="s">
        <v>123</v>
      </c>
      <c r="G318" s="52"/>
      <c r="H318" s="22"/>
      <c r="I318" s="22"/>
      <c r="J318" s="22"/>
      <c r="K318" s="22"/>
      <c r="L318" s="22"/>
      <c r="M318" s="22"/>
      <c r="N318" s="22" t="s">
        <v>572</v>
      </c>
      <c r="O318" s="23"/>
      <c r="P318" s="18" t="s">
        <v>56</v>
      </c>
      <c r="Q318" s="72"/>
      <c r="R318" s="72"/>
      <c r="S318" s="25">
        <v>40</v>
      </c>
      <c r="T318" s="26"/>
      <c r="U318" s="26"/>
      <c r="V318" s="25">
        <v>40</v>
      </c>
      <c r="W318" s="26"/>
      <c r="X318" s="25">
        <v>40</v>
      </c>
      <c r="Y318" s="26">
        <f>T318+R318+Q318+U318+W318</f>
        <v>0</v>
      </c>
      <c r="Z318" s="27">
        <v>280</v>
      </c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>
        <f>SUM(AM318:AS318)</f>
        <v>0</v>
      </c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72">
        <f>Y318-AV318-AX318-AW318</f>
        <v>0</v>
      </c>
      <c r="AZ318" s="68"/>
      <c r="BA318" s="26">
        <f>AL318+AG318+AA318+AT318</f>
        <v>0</v>
      </c>
      <c r="BB318" s="30">
        <f>BD318+AO318+AG318</f>
        <v>0</v>
      </c>
      <c r="BC318" s="30">
        <f>BD318+AS318</f>
        <v>0</v>
      </c>
      <c r="BD318" s="30">
        <f>IF(BA318&gt;0,Y318-BA318,BA318)</f>
        <v>0</v>
      </c>
      <c r="BE318" s="31">
        <v>5</v>
      </c>
      <c r="BF318" s="30" t="s">
        <v>57</v>
      </c>
      <c r="BG318" s="31">
        <f>BE318*Q318</f>
        <v>0</v>
      </c>
      <c r="BH318" s="31">
        <f>BE318*R318*0.4</f>
        <v>0</v>
      </c>
      <c r="BI318" s="142"/>
      <c r="BJ318" s="142"/>
      <c r="BK318" s="32">
        <f>Y318*BE318</f>
        <v>0</v>
      </c>
      <c r="BL318" s="25">
        <v>40</v>
      </c>
      <c r="BM318" s="25">
        <v>40</v>
      </c>
      <c r="BN318" s="25">
        <v>40</v>
      </c>
      <c r="BO318" s="25">
        <v>40</v>
      </c>
      <c r="BP318" s="25">
        <f>BE318*AV318</f>
        <v>0</v>
      </c>
      <c r="BQ318" s="25">
        <f>BE318*AX318</f>
        <v>0</v>
      </c>
      <c r="BR318" s="26"/>
      <c r="BS318" s="32"/>
    </row>
    <row r="319" spans="1:71" s="6" customFormat="1" ht="41.25" customHeight="1">
      <c r="A319" s="18">
        <v>316</v>
      </c>
      <c r="B319" s="50" t="s">
        <v>94</v>
      </c>
      <c r="C319" s="44" t="s">
        <v>215</v>
      </c>
      <c r="D319" s="18" t="s">
        <v>96</v>
      </c>
      <c r="E319" s="55" t="s">
        <v>579</v>
      </c>
      <c r="F319" s="21" t="s">
        <v>52</v>
      </c>
      <c r="G319" s="21"/>
      <c r="H319" s="50"/>
      <c r="I319" s="50"/>
      <c r="J319" s="50"/>
      <c r="K319" s="50"/>
      <c r="L319" s="20" t="s">
        <v>53</v>
      </c>
      <c r="M319" s="22"/>
      <c r="N319" s="22" t="s">
        <v>580</v>
      </c>
      <c r="O319" s="23" t="s">
        <v>581</v>
      </c>
      <c r="P319" s="18" t="s">
        <v>56</v>
      </c>
      <c r="Q319" s="72"/>
      <c r="R319" s="72"/>
      <c r="S319" s="25"/>
      <c r="T319" s="26"/>
      <c r="U319" s="26"/>
      <c r="V319" s="25"/>
      <c r="W319" s="26"/>
      <c r="X319" s="25"/>
      <c r="Y319" s="26">
        <f>T319+R319+Q319+U319+W319</f>
        <v>0</v>
      </c>
      <c r="Z319" s="27">
        <v>200</v>
      </c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>
        <f>SUM(AM319:AS319)</f>
        <v>0</v>
      </c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72">
        <f>Y319-AV319-AX319-AW319</f>
        <v>0</v>
      </c>
      <c r="AZ319" s="68"/>
      <c r="BA319" s="26">
        <f>AL319+AG319+AA319+AT319</f>
        <v>0</v>
      </c>
      <c r="BB319" s="30">
        <f>BD319+AO319+AG319</f>
        <v>0</v>
      </c>
      <c r="BC319" s="30">
        <f>BD319+AS319</f>
        <v>0</v>
      </c>
      <c r="BD319" s="30">
        <f>IF(BA319&gt;0,Y319-BA319,BA319)</f>
        <v>0</v>
      </c>
      <c r="BE319" s="31"/>
      <c r="BF319" s="30" t="s">
        <v>57</v>
      </c>
      <c r="BG319" s="31">
        <f>BE319*Q319</f>
        <v>0</v>
      </c>
      <c r="BH319" s="31">
        <f>BE319*R319*0.4</f>
        <v>0</v>
      </c>
      <c r="BI319" s="142"/>
      <c r="BJ319" s="142"/>
      <c r="BK319" s="32">
        <f>Y319*BE319</f>
        <v>0</v>
      </c>
      <c r="BL319" s="25">
        <v>200</v>
      </c>
      <c r="BM319" s="25"/>
      <c r="BN319" s="25"/>
      <c r="BO319" s="25"/>
      <c r="BP319" s="25">
        <f>BE319*AV319</f>
        <v>0</v>
      </c>
      <c r="BQ319" s="25">
        <f>BE319*AX319</f>
        <v>0</v>
      </c>
      <c r="BR319" s="28"/>
      <c r="BS319" s="32"/>
    </row>
    <row r="320" spans="1:71" s="6" customFormat="1" ht="41.25" customHeight="1">
      <c r="A320" s="18">
        <v>317</v>
      </c>
      <c r="B320" s="18" t="s">
        <v>58</v>
      </c>
      <c r="C320" s="18" t="s">
        <v>259</v>
      </c>
      <c r="D320" s="21" t="s">
        <v>50</v>
      </c>
      <c r="E320" s="20" t="s">
        <v>565</v>
      </c>
      <c r="F320" s="52" t="s">
        <v>123</v>
      </c>
      <c r="G320" s="52"/>
      <c r="H320" s="22">
        <v>120</v>
      </c>
      <c r="I320" s="22">
        <v>200</v>
      </c>
      <c r="J320" s="22"/>
      <c r="K320" s="22"/>
      <c r="L320" s="20" t="s">
        <v>53</v>
      </c>
      <c r="M320" s="22"/>
      <c r="N320" s="22" t="s">
        <v>585</v>
      </c>
      <c r="O320" s="23"/>
      <c r="P320" s="38" t="s">
        <v>56</v>
      </c>
      <c r="Q320" s="72"/>
      <c r="R320" s="72"/>
      <c r="S320" s="40">
        <v>940</v>
      </c>
      <c r="T320" s="26"/>
      <c r="U320" s="26"/>
      <c r="V320" s="25">
        <v>940</v>
      </c>
      <c r="W320" s="26"/>
      <c r="X320" s="25">
        <v>564</v>
      </c>
      <c r="Y320" s="26">
        <f>T320+R320+Q320+U320+W320</f>
        <v>0</v>
      </c>
      <c r="Z320" s="27">
        <v>4700</v>
      </c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>
        <f>SUM(AM320:AS320)</f>
        <v>0</v>
      </c>
      <c r="AM320" s="41"/>
      <c r="AN320" s="49">
        <v>0</v>
      </c>
      <c r="AO320" s="49"/>
      <c r="AP320" s="49"/>
      <c r="AQ320" s="49"/>
      <c r="AR320" s="49"/>
      <c r="AS320" s="49"/>
      <c r="AT320" s="28"/>
      <c r="AU320" s="28"/>
      <c r="AV320" s="26"/>
      <c r="AW320" s="26"/>
      <c r="AX320" s="28"/>
      <c r="AY320" s="72">
        <f>Y320-AV320-AX320-AW320</f>
        <v>0</v>
      </c>
      <c r="AZ320" s="68"/>
      <c r="BA320" s="26">
        <f>AL320+AG320+AA320+AT320</f>
        <v>0</v>
      </c>
      <c r="BB320" s="30">
        <f>BD320+AO320+AG320</f>
        <v>0</v>
      </c>
      <c r="BC320" s="30">
        <f>BD320+AS320</f>
        <v>0</v>
      </c>
      <c r="BD320" s="30">
        <f>IF(BA320&gt;0,Y320-BA320,BA320)</f>
        <v>0</v>
      </c>
      <c r="BE320" s="31">
        <v>7</v>
      </c>
      <c r="BF320" s="30" t="s">
        <v>57</v>
      </c>
      <c r="BG320" s="31">
        <f>BE320*Q320</f>
        <v>0</v>
      </c>
      <c r="BH320" s="31">
        <f>BE320*R320*0.4</f>
        <v>0</v>
      </c>
      <c r="BI320" s="142"/>
      <c r="BJ320" s="142"/>
      <c r="BK320" s="32">
        <f>Y320*BE320</f>
        <v>0</v>
      </c>
      <c r="BL320" s="25">
        <v>564</v>
      </c>
      <c r="BM320" s="25">
        <v>564</v>
      </c>
      <c r="BN320" s="25">
        <v>564</v>
      </c>
      <c r="BO320" s="25">
        <v>564</v>
      </c>
      <c r="BP320" s="25">
        <f>BE320*AV320</f>
        <v>0</v>
      </c>
      <c r="BQ320" s="25">
        <f>BE320*AX320</f>
        <v>0</v>
      </c>
      <c r="BR320" s="28"/>
      <c r="BS320" s="32"/>
    </row>
    <row r="321" spans="1:71" s="6" customFormat="1" ht="41.25" customHeight="1">
      <c r="A321" s="18">
        <v>318</v>
      </c>
      <c r="B321" s="18" t="s">
        <v>94</v>
      </c>
      <c r="C321" s="18" t="s">
        <v>209</v>
      </c>
      <c r="D321" s="18" t="s">
        <v>96</v>
      </c>
      <c r="E321" s="20" t="s">
        <v>437</v>
      </c>
      <c r="F321" s="18" t="s">
        <v>209</v>
      </c>
      <c r="G321" s="18"/>
      <c r="H321" s="22"/>
      <c r="I321" s="22"/>
      <c r="J321" s="22"/>
      <c r="K321" s="22"/>
      <c r="L321" s="20" t="s">
        <v>53</v>
      </c>
      <c r="M321" s="22"/>
      <c r="N321" s="22" t="s">
        <v>586</v>
      </c>
      <c r="O321" s="23"/>
      <c r="P321" s="18" t="s">
        <v>56</v>
      </c>
      <c r="Q321" s="147"/>
      <c r="R321" s="72"/>
      <c r="S321" s="25"/>
      <c r="T321" s="26"/>
      <c r="U321" s="26"/>
      <c r="V321" s="25"/>
      <c r="W321" s="26"/>
      <c r="X321" s="25">
        <v>200</v>
      </c>
      <c r="Y321" s="26">
        <f>T321+R321+Q321+U321+W321</f>
        <v>0</v>
      </c>
      <c r="Z321" s="27">
        <v>200</v>
      </c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>
        <f>SUM(AM321:AS321)</f>
        <v>0</v>
      </c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72">
        <f>Y321-AV321-AX321-AW321</f>
        <v>0</v>
      </c>
      <c r="AZ321" s="68"/>
      <c r="BA321" s="26">
        <f>AL321+AG321+AA321+AT321</f>
        <v>0</v>
      </c>
      <c r="BB321" s="30">
        <f>BD321+AO321+AG321</f>
        <v>0</v>
      </c>
      <c r="BC321" s="30">
        <f>BD321+AS321</f>
        <v>0</v>
      </c>
      <c r="BD321" s="30">
        <f>IF(BA321&gt;0,Y321-BA321,BA321)</f>
        <v>0</v>
      </c>
      <c r="BE321" s="31"/>
      <c r="BF321" s="30" t="s">
        <v>57</v>
      </c>
      <c r="BG321" s="31">
        <f>BE321*Q321</f>
        <v>0</v>
      </c>
      <c r="BH321" s="31">
        <f>BE321*R321*0.4</f>
        <v>0</v>
      </c>
      <c r="BI321" s="142"/>
      <c r="BJ321" s="142"/>
      <c r="BK321" s="32">
        <f>Y321*BE321</f>
        <v>0</v>
      </c>
      <c r="BL321" s="25"/>
      <c r="BM321" s="25"/>
      <c r="BN321" s="25"/>
      <c r="BO321" s="25"/>
      <c r="BP321" s="25">
        <f>BE321*AV321</f>
        <v>0</v>
      </c>
      <c r="BQ321" s="25">
        <f>BE321*AX321</f>
        <v>0</v>
      </c>
      <c r="BR321" s="28"/>
      <c r="BS321" s="32"/>
    </row>
    <row r="322" spans="1:71" s="6" customFormat="1" ht="41.25" customHeight="1">
      <c r="A322" s="18">
        <v>319</v>
      </c>
      <c r="B322" s="18" t="s">
        <v>94</v>
      </c>
      <c r="C322" s="18" t="s">
        <v>215</v>
      </c>
      <c r="D322" s="18" t="s">
        <v>96</v>
      </c>
      <c r="E322" s="20" t="s">
        <v>579</v>
      </c>
      <c r="F322" s="21" t="s">
        <v>52</v>
      </c>
      <c r="G322" s="21"/>
      <c r="H322" s="22"/>
      <c r="I322" s="22"/>
      <c r="J322" s="22"/>
      <c r="K322" s="22"/>
      <c r="L322" s="20" t="s">
        <v>53</v>
      </c>
      <c r="M322" s="22"/>
      <c r="N322" s="22" t="s">
        <v>587</v>
      </c>
      <c r="O322" s="23" t="s">
        <v>588</v>
      </c>
      <c r="P322" s="18" t="s">
        <v>56</v>
      </c>
      <c r="Q322" s="72"/>
      <c r="R322" s="72"/>
      <c r="S322" s="25"/>
      <c r="T322" s="26"/>
      <c r="U322" s="26"/>
      <c r="V322" s="25"/>
      <c r="W322" s="26"/>
      <c r="X322" s="25"/>
      <c r="Y322" s="26">
        <f>T322+R322+Q322+U322+W322</f>
        <v>0</v>
      </c>
      <c r="Z322" s="27">
        <v>200</v>
      </c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>
        <f>SUM(AM322:AS322)</f>
        <v>0</v>
      </c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72">
        <f>Y322-AV322-AX322-AW322</f>
        <v>0</v>
      </c>
      <c r="AZ322" s="68"/>
      <c r="BA322" s="26">
        <f>AL322+AG322+AA322+AT322</f>
        <v>0</v>
      </c>
      <c r="BB322" s="30">
        <f>BD322+AO322+AG322</f>
        <v>0</v>
      </c>
      <c r="BC322" s="30">
        <f>BD322+AS322</f>
        <v>0</v>
      </c>
      <c r="BD322" s="30">
        <f>IF(BA322&gt;0,Y322-BA322,BA322)</f>
        <v>0</v>
      </c>
      <c r="BE322" s="31"/>
      <c r="BF322" s="30" t="s">
        <v>57</v>
      </c>
      <c r="BG322" s="31">
        <f>BE322*Q322</f>
        <v>0</v>
      </c>
      <c r="BH322" s="31">
        <f>BE322*R322*0.4</f>
        <v>0</v>
      </c>
      <c r="BI322" s="142"/>
      <c r="BJ322" s="142"/>
      <c r="BK322" s="32">
        <f>Y322*BE322</f>
        <v>0</v>
      </c>
      <c r="BL322" s="25"/>
      <c r="BM322" s="25">
        <v>200</v>
      </c>
      <c r="BN322" s="25"/>
      <c r="BO322" s="25"/>
      <c r="BP322" s="25">
        <f>BE322*AV322</f>
        <v>0</v>
      </c>
      <c r="BQ322" s="25">
        <f>BE322*AX322</f>
        <v>0</v>
      </c>
      <c r="BR322" s="26"/>
      <c r="BS322" s="32"/>
    </row>
    <row r="323" spans="1:71" s="6" customFormat="1" ht="41.25" customHeight="1">
      <c r="A323" s="18">
        <v>320</v>
      </c>
      <c r="B323" s="18" t="s">
        <v>94</v>
      </c>
      <c r="C323" s="18" t="s">
        <v>215</v>
      </c>
      <c r="D323" s="18" t="s">
        <v>96</v>
      </c>
      <c r="E323" s="20" t="s">
        <v>579</v>
      </c>
      <c r="F323" s="21" t="s">
        <v>52</v>
      </c>
      <c r="G323" s="21"/>
      <c r="H323" s="22"/>
      <c r="I323" s="22"/>
      <c r="J323" s="22"/>
      <c r="K323" s="22"/>
      <c r="L323" s="20" t="s">
        <v>53</v>
      </c>
      <c r="M323" s="22"/>
      <c r="N323" s="22" t="s">
        <v>589</v>
      </c>
      <c r="O323" s="23" t="s">
        <v>590</v>
      </c>
      <c r="P323" s="18" t="s">
        <v>56</v>
      </c>
      <c r="Q323" s="42"/>
      <c r="R323" s="72"/>
      <c r="S323" s="25"/>
      <c r="T323" s="26"/>
      <c r="U323" s="26"/>
      <c r="V323" s="25"/>
      <c r="W323" s="26"/>
      <c r="X323" s="25"/>
      <c r="Y323" s="26">
        <f>T323+R323+Q323+U323+W323</f>
        <v>0</v>
      </c>
      <c r="Z323" s="27">
        <v>200</v>
      </c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>
        <f>SUM(AM323:AS323)</f>
        <v>0</v>
      </c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72">
        <f>Y323-AV323-AX323-AW323</f>
        <v>0</v>
      </c>
      <c r="AZ323" s="68"/>
      <c r="BA323" s="26">
        <f>AL323+AG323+AA323+AT323</f>
        <v>0</v>
      </c>
      <c r="BB323" s="30">
        <f>BD323+AO323+AG323</f>
        <v>0</v>
      </c>
      <c r="BC323" s="30">
        <f>BD323+AS323</f>
        <v>0</v>
      </c>
      <c r="BD323" s="30">
        <f>IF(BA323&gt;0,Y323-BA323,BA323)</f>
        <v>0</v>
      </c>
      <c r="BE323" s="31">
        <v>6</v>
      </c>
      <c r="BF323" s="30" t="s">
        <v>57</v>
      </c>
      <c r="BG323" s="31">
        <f>BE323*Q323</f>
        <v>0</v>
      </c>
      <c r="BH323" s="31">
        <f>BE323*R323*0.4</f>
        <v>0</v>
      </c>
      <c r="BI323" s="31"/>
      <c r="BJ323" s="31"/>
      <c r="BK323" s="32">
        <f>Y323*BE323</f>
        <v>0</v>
      </c>
      <c r="BL323" s="25"/>
      <c r="BM323" s="25"/>
      <c r="BN323" s="25">
        <v>200</v>
      </c>
      <c r="BO323" s="25"/>
      <c r="BP323" s="25">
        <f>BE323*AV323</f>
        <v>0</v>
      </c>
      <c r="BQ323" s="25">
        <f>BE323*AX323</f>
        <v>0</v>
      </c>
      <c r="BR323" s="28"/>
      <c r="BS323" s="32"/>
    </row>
    <row r="324" spans="1:71" s="6" customFormat="1" ht="41.25" customHeight="1">
      <c r="A324" s="18">
        <v>321</v>
      </c>
      <c r="B324" s="18" t="s">
        <v>58</v>
      </c>
      <c r="C324" s="18" t="s">
        <v>259</v>
      </c>
      <c r="D324" s="21" t="s">
        <v>50</v>
      </c>
      <c r="E324" s="20" t="s">
        <v>591</v>
      </c>
      <c r="F324" s="52" t="s">
        <v>123</v>
      </c>
      <c r="G324" s="52"/>
      <c r="H324" s="22"/>
      <c r="I324" s="22"/>
      <c r="J324" s="22"/>
      <c r="K324" s="22"/>
      <c r="L324" s="20" t="s">
        <v>53</v>
      </c>
      <c r="M324" s="22"/>
      <c r="N324" s="22" t="s">
        <v>592</v>
      </c>
      <c r="O324" s="23" t="s">
        <v>593</v>
      </c>
      <c r="P324" s="18" t="s">
        <v>56</v>
      </c>
      <c r="Q324" s="72"/>
      <c r="R324" s="72"/>
      <c r="S324" s="25">
        <v>260</v>
      </c>
      <c r="T324" s="26"/>
      <c r="U324" s="26"/>
      <c r="V324" s="25">
        <v>260</v>
      </c>
      <c r="W324" s="26"/>
      <c r="X324" s="25">
        <v>156</v>
      </c>
      <c r="Y324" s="26">
        <f>T324+R324+Q324+U324+W324</f>
        <v>0</v>
      </c>
      <c r="Z324" s="27">
        <v>1300</v>
      </c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>
        <f>SUM(AM324:AS324)</f>
        <v>0</v>
      </c>
      <c r="AM324" s="26"/>
      <c r="AN324" s="26"/>
      <c r="AO324" s="26"/>
      <c r="AP324" s="26"/>
      <c r="AQ324" s="26"/>
      <c r="AR324" s="26"/>
      <c r="AS324" s="26"/>
      <c r="AT324" s="28"/>
      <c r="AU324" s="28"/>
      <c r="AV324" s="26"/>
      <c r="AW324" s="26"/>
      <c r="AX324" s="28"/>
      <c r="AY324" s="72">
        <f>Y324-AV324-AX324-AW324</f>
        <v>0</v>
      </c>
      <c r="AZ324" s="68"/>
      <c r="BA324" s="26">
        <f>AL324+AG324+AA324+AT324</f>
        <v>0</v>
      </c>
      <c r="BB324" s="30">
        <f>BD324+AO324+AG324</f>
        <v>0</v>
      </c>
      <c r="BC324" s="30">
        <f>BD324+AS324</f>
        <v>0</v>
      </c>
      <c r="BD324" s="30">
        <f>IF(BA324&gt;0,Y324-BA324,BA324)</f>
        <v>0</v>
      </c>
      <c r="BE324" s="31">
        <v>7</v>
      </c>
      <c r="BF324" s="30" t="s">
        <v>57</v>
      </c>
      <c r="BG324" s="31">
        <f>BE324*Q324</f>
        <v>0</v>
      </c>
      <c r="BH324" s="31">
        <f>BE324*R324*0.4</f>
        <v>0</v>
      </c>
      <c r="BI324" s="31"/>
      <c r="BJ324" s="31"/>
      <c r="BK324" s="32">
        <f>Y324*BE324</f>
        <v>0</v>
      </c>
      <c r="BL324" s="25">
        <v>156</v>
      </c>
      <c r="BM324" s="25">
        <v>156</v>
      </c>
      <c r="BN324" s="25">
        <v>156</v>
      </c>
      <c r="BO324" s="25">
        <v>156</v>
      </c>
      <c r="BP324" s="25">
        <f>BE324*AV324</f>
        <v>0</v>
      </c>
      <c r="BQ324" s="25">
        <f>BE324*AX324</f>
        <v>0</v>
      </c>
      <c r="BR324" s="26"/>
      <c r="BS324" s="32"/>
    </row>
    <row r="325" spans="1:71" s="6" customFormat="1" ht="41.25" customHeight="1">
      <c r="A325" s="18">
        <v>322</v>
      </c>
      <c r="B325" s="18" t="s">
        <v>48</v>
      </c>
      <c r="C325" s="18" t="s">
        <v>81</v>
      </c>
      <c r="D325" s="36" t="s">
        <v>68</v>
      </c>
      <c r="E325" s="20" t="s">
        <v>594</v>
      </c>
      <c r="F325" s="36" t="s">
        <v>70</v>
      </c>
      <c r="G325" s="36"/>
      <c r="H325" s="22"/>
      <c r="I325" s="37" t="s">
        <v>104</v>
      </c>
      <c r="J325" s="37"/>
      <c r="K325" s="37"/>
      <c r="L325" s="20" t="s">
        <v>53</v>
      </c>
      <c r="M325" s="22"/>
      <c r="N325" s="22" t="s">
        <v>595</v>
      </c>
      <c r="O325" s="23" t="s">
        <v>596</v>
      </c>
      <c r="P325" s="18" t="s">
        <v>56</v>
      </c>
      <c r="Q325" s="63">
        <v>24</v>
      </c>
      <c r="R325" s="72"/>
      <c r="S325" s="25">
        <v>28</v>
      </c>
      <c r="T325" s="26"/>
      <c r="U325" s="26"/>
      <c r="V325" s="25">
        <v>17</v>
      </c>
      <c r="W325" s="26"/>
      <c r="X325" s="25">
        <v>17</v>
      </c>
      <c r="Y325" s="29">
        <f>T325+R325+Q325+U325+W325</f>
        <v>24</v>
      </c>
      <c r="Z325" s="27">
        <v>140</v>
      </c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>
        <f>SUM(AM325:AS325)</f>
        <v>0</v>
      </c>
      <c r="AM325" s="26"/>
      <c r="AN325" s="26"/>
      <c r="AO325" s="26"/>
      <c r="AP325" s="26"/>
      <c r="AQ325" s="26"/>
      <c r="AR325" s="26"/>
      <c r="AS325" s="26"/>
      <c r="AT325" s="28"/>
      <c r="AU325" s="28"/>
      <c r="AV325" s="26"/>
      <c r="AW325" s="26"/>
      <c r="AX325" s="28"/>
      <c r="AY325" s="29">
        <f>Y325-AV325-AX325-AW325</f>
        <v>24</v>
      </c>
      <c r="AZ325" s="29">
        <f>'Layout for trees right'!I20</f>
        <v>24</v>
      </c>
      <c r="BA325" s="26">
        <f>AL325+AG325+AA325+AT325</f>
        <v>0</v>
      </c>
      <c r="BB325" s="30">
        <f>BD325+AO325+AG325</f>
        <v>0</v>
      </c>
      <c r="BC325" s="30">
        <f>BD325+AS325</f>
        <v>0</v>
      </c>
      <c r="BD325" s="30">
        <f>IF(BA325&gt;0,Y325-BA325,BA325)</f>
        <v>0</v>
      </c>
      <c r="BE325" s="31">
        <v>154</v>
      </c>
      <c r="BF325" s="30" t="s">
        <v>57</v>
      </c>
      <c r="BG325" s="31">
        <f>BE325*Q325</f>
        <v>3696</v>
      </c>
      <c r="BH325" s="31">
        <f>BE325*R325*0.4</f>
        <v>0</v>
      </c>
      <c r="BI325" s="142"/>
      <c r="BJ325" s="142"/>
      <c r="BK325" s="32">
        <f>Y325*BE325</f>
        <v>3696</v>
      </c>
      <c r="BL325" s="25">
        <v>17</v>
      </c>
      <c r="BM325" s="25">
        <v>17</v>
      </c>
      <c r="BN325" s="25">
        <v>17</v>
      </c>
      <c r="BO325" s="25">
        <v>27</v>
      </c>
      <c r="BP325" s="25">
        <f>BE325*AV325</f>
        <v>0</v>
      </c>
      <c r="BQ325" s="25">
        <f>BE325*AX325</f>
        <v>0</v>
      </c>
      <c r="BR325" s="28"/>
      <c r="BS325" s="32"/>
    </row>
    <row r="326" spans="1:71" s="6" customFormat="1" ht="41.25" customHeight="1">
      <c r="A326" s="18">
        <v>323</v>
      </c>
      <c r="B326" s="18" t="s">
        <v>94</v>
      </c>
      <c r="C326" s="18" t="s">
        <v>121</v>
      </c>
      <c r="D326" s="18" t="s">
        <v>96</v>
      </c>
      <c r="E326" s="22" t="s">
        <v>597</v>
      </c>
      <c r="F326" s="52" t="s">
        <v>123</v>
      </c>
      <c r="G326" s="52"/>
      <c r="H326" s="22"/>
      <c r="I326" s="22"/>
      <c r="J326" s="22"/>
      <c r="K326" s="22"/>
      <c r="L326" s="22"/>
      <c r="M326" s="22"/>
      <c r="N326" s="22" t="s">
        <v>598</v>
      </c>
      <c r="O326" s="23" t="s">
        <v>599</v>
      </c>
      <c r="P326" s="38" t="s">
        <v>56</v>
      </c>
      <c r="Q326" s="26"/>
      <c r="R326" s="26"/>
      <c r="S326" s="40">
        <v>40</v>
      </c>
      <c r="T326" s="26"/>
      <c r="U326" s="26"/>
      <c r="V326" s="25">
        <v>40</v>
      </c>
      <c r="W326" s="26"/>
      <c r="X326" s="25">
        <v>40</v>
      </c>
      <c r="Y326" s="26">
        <f>T326+R326+Q326+U326+W326</f>
        <v>0</v>
      </c>
      <c r="Z326" s="27">
        <v>280</v>
      </c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>
        <f>SUM(AM326:AS326)</f>
        <v>0</v>
      </c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72">
        <f>Y326-AV326-AX326-AW326</f>
        <v>0</v>
      </c>
      <c r="AZ326" s="68"/>
      <c r="BA326" s="26">
        <f>AL326+AG326+AA326+AT326</f>
        <v>0</v>
      </c>
      <c r="BB326" s="30">
        <f>BD326+AO326+AG326</f>
        <v>0</v>
      </c>
      <c r="BC326" s="30">
        <f>BD326+AS326</f>
        <v>0</v>
      </c>
      <c r="BD326" s="30">
        <f>IF(BA326&gt;0,Y326-BA326,BA326)</f>
        <v>0</v>
      </c>
      <c r="BE326" s="31">
        <v>5</v>
      </c>
      <c r="BF326" s="30" t="s">
        <v>57</v>
      </c>
      <c r="BG326" s="31">
        <f>BE326*Q326</f>
        <v>0</v>
      </c>
      <c r="BH326" s="31">
        <f>BE326*R326*0.4</f>
        <v>0</v>
      </c>
      <c r="BI326" s="31"/>
      <c r="BJ326" s="31"/>
      <c r="BK326" s="32">
        <f>Y326*BE326</f>
        <v>0</v>
      </c>
      <c r="BL326" s="25">
        <v>40</v>
      </c>
      <c r="BM326" s="25">
        <v>40</v>
      </c>
      <c r="BN326" s="25">
        <v>40</v>
      </c>
      <c r="BO326" s="25">
        <v>40</v>
      </c>
      <c r="BP326" s="25">
        <f>BE326*AV326</f>
        <v>0</v>
      </c>
      <c r="BQ326" s="25">
        <f>BE326*AX326</f>
        <v>0</v>
      </c>
      <c r="BR326" s="28"/>
      <c r="BS326" s="32"/>
    </row>
    <row r="327" spans="1:71" s="6" customFormat="1" ht="41.25" customHeight="1">
      <c r="A327" s="18">
        <v>324</v>
      </c>
      <c r="B327" s="50" t="s">
        <v>94</v>
      </c>
      <c r="C327" s="44" t="s">
        <v>209</v>
      </c>
      <c r="D327" s="18" t="s">
        <v>96</v>
      </c>
      <c r="E327" s="55" t="s">
        <v>437</v>
      </c>
      <c r="F327" s="44" t="s">
        <v>209</v>
      </c>
      <c r="G327" s="44"/>
      <c r="H327" s="50"/>
      <c r="I327" s="50"/>
      <c r="J327" s="50"/>
      <c r="K327" s="50"/>
      <c r="L327" s="20" t="s">
        <v>53</v>
      </c>
      <c r="M327" s="22"/>
      <c r="N327" s="22" t="s">
        <v>601</v>
      </c>
      <c r="O327" s="23" t="s">
        <v>602</v>
      </c>
      <c r="P327" s="18" t="s">
        <v>56</v>
      </c>
      <c r="Q327" s="72"/>
      <c r="R327" s="72"/>
      <c r="S327" s="25"/>
      <c r="T327" s="26"/>
      <c r="U327" s="26"/>
      <c r="V327" s="25"/>
      <c r="W327" s="26"/>
      <c r="X327" s="25"/>
      <c r="Y327" s="26">
        <f>T327+R327+Q327+U327+W327</f>
        <v>0</v>
      </c>
      <c r="Z327" s="27">
        <v>200</v>
      </c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>
        <f>SUM(AM327:AS327)</f>
        <v>0</v>
      </c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72">
        <f>Y327-AV327-AX327-AW327</f>
        <v>0</v>
      </c>
      <c r="AZ327" s="68"/>
      <c r="BA327" s="26">
        <f>AL327+AG327+AA327+AT327</f>
        <v>0</v>
      </c>
      <c r="BB327" s="30">
        <f>BD327+AO327+AG327</f>
        <v>0</v>
      </c>
      <c r="BC327" s="30">
        <f>BD327+AS327</f>
        <v>0</v>
      </c>
      <c r="BD327" s="30">
        <f>IF(BA327&gt;0,Y327-BA327,BA327)</f>
        <v>0</v>
      </c>
      <c r="BE327" s="31"/>
      <c r="BF327" s="30" t="s">
        <v>57</v>
      </c>
      <c r="BG327" s="31">
        <f>BE327*Q327</f>
        <v>0</v>
      </c>
      <c r="BH327" s="31">
        <f>BE327*R327*0.4</f>
        <v>0</v>
      </c>
      <c r="BI327" s="31"/>
      <c r="BJ327" s="31"/>
      <c r="BK327" s="32">
        <f>Y327*BE327</f>
        <v>0</v>
      </c>
      <c r="BL327" s="25">
        <v>200</v>
      </c>
      <c r="BM327" s="25"/>
      <c r="BN327" s="25"/>
      <c r="BO327" s="25"/>
      <c r="BP327" s="25">
        <f>BE327*AV327</f>
        <v>0</v>
      </c>
      <c r="BQ327" s="25">
        <f>BE327*AX327</f>
        <v>0</v>
      </c>
      <c r="BR327" s="28"/>
      <c r="BS327" s="32"/>
    </row>
    <row r="328" spans="1:71" s="6" customFormat="1" ht="41.25" customHeight="1">
      <c r="A328" s="18">
        <v>325</v>
      </c>
      <c r="B328" s="18" t="s">
        <v>94</v>
      </c>
      <c r="C328" s="18" t="s">
        <v>121</v>
      </c>
      <c r="D328" s="18" t="s">
        <v>96</v>
      </c>
      <c r="E328" s="22" t="s">
        <v>597</v>
      </c>
      <c r="F328" s="52" t="s">
        <v>123</v>
      </c>
      <c r="G328" s="52"/>
      <c r="H328" s="22"/>
      <c r="I328" s="22"/>
      <c r="J328" s="22"/>
      <c r="K328" s="22"/>
      <c r="L328" s="22"/>
      <c r="M328" s="22"/>
      <c r="N328" s="22" t="s">
        <v>603</v>
      </c>
      <c r="O328" s="23"/>
      <c r="P328" s="38" t="s">
        <v>56</v>
      </c>
      <c r="Q328" s="29">
        <v>40</v>
      </c>
      <c r="R328" s="72"/>
      <c r="S328" s="40">
        <v>40</v>
      </c>
      <c r="T328" s="29">
        <v>2</v>
      </c>
      <c r="U328" s="26"/>
      <c r="V328" s="25">
        <v>40</v>
      </c>
      <c r="W328" s="26"/>
      <c r="X328" s="25">
        <v>40</v>
      </c>
      <c r="Y328" s="53">
        <f>T328+R328+Q328+U328+W328</f>
        <v>42</v>
      </c>
      <c r="Z328" s="27">
        <v>280</v>
      </c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>
        <f>SUM(AM328:AS328)</f>
        <v>0</v>
      </c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9">
        <f>Y328-AV328-AX328-AW328</f>
        <v>42</v>
      </c>
      <c r="AZ328" s="29">
        <f>'Layout for shadhous 3'!I55</f>
        <v>42</v>
      </c>
      <c r="BA328" s="26">
        <f>AL328+AG328+AA328+AT328</f>
        <v>0</v>
      </c>
      <c r="BB328" s="30">
        <f>BD328+AO328+AG328</f>
        <v>0</v>
      </c>
      <c r="BC328" s="30">
        <f>BD328+AS328</f>
        <v>0</v>
      </c>
      <c r="BD328" s="30">
        <f>IF(BA328&gt;0,Y328-BA328,BA328)</f>
        <v>0</v>
      </c>
      <c r="BE328" s="31">
        <v>8</v>
      </c>
      <c r="BF328" s="30" t="s">
        <v>57</v>
      </c>
      <c r="BG328" s="31">
        <f>BE328*Q328</f>
        <v>320</v>
      </c>
      <c r="BH328" s="31">
        <f>BE328*R328*0.4</f>
        <v>0</v>
      </c>
      <c r="BI328" s="31"/>
      <c r="BJ328" s="31"/>
      <c r="BK328" s="32">
        <f>Y328*BE328</f>
        <v>336</v>
      </c>
      <c r="BL328" s="25">
        <v>40</v>
      </c>
      <c r="BM328" s="25">
        <v>40</v>
      </c>
      <c r="BN328" s="25">
        <v>40</v>
      </c>
      <c r="BO328" s="25">
        <v>40</v>
      </c>
      <c r="BP328" s="25">
        <f>BE328*AV328</f>
        <v>0</v>
      </c>
      <c r="BQ328" s="25">
        <f>BE328*AX328</f>
        <v>0</v>
      </c>
      <c r="BR328" s="28"/>
      <c r="BS328" s="32"/>
    </row>
    <row r="329" spans="1:71" s="6" customFormat="1" ht="41.25" customHeight="1">
      <c r="A329" s="18">
        <v>326</v>
      </c>
      <c r="B329" s="18" t="s">
        <v>87</v>
      </c>
      <c r="C329" s="18" t="s">
        <v>172</v>
      </c>
      <c r="D329" s="47" t="s">
        <v>89</v>
      </c>
      <c r="E329" s="20" t="s">
        <v>525</v>
      </c>
      <c r="F329" s="71" t="s">
        <v>281</v>
      </c>
      <c r="G329" s="71"/>
      <c r="H329" s="22"/>
      <c r="I329" s="22" t="s">
        <v>129</v>
      </c>
      <c r="J329" s="22"/>
      <c r="K329" s="22"/>
      <c r="L329" s="20" t="s">
        <v>53</v>
      </c>
      <c r="M329" s="22"/>
      <c r="N329" s="22" t="s">
        <v>604</v>
      </c>
      <c r="O329" s="23" t="s">
        <v>605</v>
      </c>
      <c r="P329" s="18" t="s">
        <v>56</v>
      </c>
      <c r="Q329" s="29">
        <v>200</v>
      </c>
      <c r="R329" s="72"/>
      <c r="S329" s="25">
        <v>200</v>
      </c>
      <c r="T329" s="26"/>
      <c r="U329" s="26"/>
      <c r="V329" s="25"/>
      <c r="W329" s="63">
        <v>4</v>
      </c>
      <c r="X329" s="25"/>
      <c r="Y329" s="53">
        <f>T329+R329+Q329+U329+W329</f>
        <v>204</v>
      </c>
      <c r="Z329" s="27">
        <v>200</v>
      </c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>
        <f>SUM(AM329:AS329)</f>
        <v>0</v>
      </c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9">
        <f>Y329-AV329-AX329-AW329</f>
        <v>204</v>
      </c>
      <c r="AZ329" s="29">
        <f>'Layout for shadhous 3'!I54</f>
        <v>204</v>
      </c>
      <c r="BA329" s="26">
        <f>AL329+AG329+AA329+AT329</f>
        <v>0</v>
      </c>
      <c r="BB329" s="30">
        <f>BD329+AO329+AG329</f>
        <v>0</v>
      </c>
      <c r="BC329" s="30">
        <f>BD329+AS329</f>
        <v>0</v>
      </c>
      <c r="BD329" s="30">
        <f>IF(BA329&gt;0,Y329-BA329,BA329)</f>
        <v>0</v>
      </c>
      <c r="BE329" s="31">
        <v>30</v>
      </c>
      <c r="BF329" s="30" t="s">
        <v>57</v>
      </c>
      <c r="BG329" s="31">
        <f>BE329*Q329</f>
        <v>6000</v>
      </c>
      <c r="BH329" s="31">
        <f>BE329*R329*0.4</f>
        <v>0</v>
      </c>
      <c r="BI329" s="31"/>
      <c r="BJ329" s="31"/>
      <c r="BK329" s="32">
        <f>Y329*BE329</f>
        <v>6120</v>
      </c>
      <c r="BL329" s="25"/>
      <c r="BM329" s="25"/>
      <c r="BN329" s="25"/>
      <c r="BO329" s="25"/>
      <c r="BP329" s="25">
        <f>BE329*AV329</f>
        <v>0</v>
      </c>
      <c r="BQ329" s="25">
        <f>BE329*AX329</f>
        <v>0</v>
      </c>
      <c r="BR329" s="26"/>
      <c r="BS329" s="32"/>
    </row>
    <row r="330" spans="1:71" s="6" customFormat="1" ht="41.25" customHeight="1">
      <c r="A330" s="18">
        <v>327</v>
      </c>
      <c r="B330" s="18" t="s">
        <v>66</v>
      </c>
      <c r="C330" s="18" t="s">
        <v>67</v>
      </c>
      <c r="D330" s="36" t="s">
        <v>68</v>
      </c>
      <c r="E330" s="20" t="s">
        <v>606</v>
      </c>
      <c r="F330" s="36" t="s">
        <v>70</v>
      </c>
      <c r="G330" s="36"/>
      <c r="H330" s="22"/>
      <c r="I330" s="37" t="s">
        <v>607</v>
      </c>
      <c r="J330" s="37"/>
      <c r="K330" s="37"/>
      <c r="L330" s="20" t="s">
        <v>53</v>
      </c>
      <c r="M330" s="22"/>
      <c r="N330" s="22" t="s">
        <v>608</v>
      </c>
      <c r="O330" s="23"/>
      <c r="P330" s="80" t="s">
        <v>56</v>
      </c>
      <c r="Q330" s="72"/>
      <c r="R330" s="72"/>
      <c r="S330" s="30">
        <v>30</v>
      </c>
      <c r="T330" s="26"/>
      <c r="U330" s="26"/>
      <c r="V330" s="30"/>
      <c r="W330" s="153"/>
      <c r="X330" s="30"/>
      <c r="Y330" s="26">
        <f>T330+R330+Q330+U330+W330</f>
        <v>0</v>
      </c>
      <c r="Z330" s="27">
        <v>30</v>
      </c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>
        <f>SUM(AM330:AS330)</f>
        <v>0</v>
      </c>
      <c r="AM330" s="26"/>
      <c r="AN330" s="26"/>
      <c r="AO330" s="26"/>
      <c r="AP330" s="26"/>
      <c r="AQ330" s="26"/>
      <c r="AR330" s="26"/>
      <c r="AS330" s="26"/>
      <c r="AT330" s="28"/>
      <c r="AU330" s="28"/>
      <c r="AV330" s="26"/>
      <c r="AW330" s="26"/>
      <c r="AX330" s="28"/>
      <c r="AY330" s="72">
        <f>Y330-AV330-AX330-AW330</f>
        <v>0</v>
      </c>
      <c r="AZ330" s="68"/>
      <c r="BA330" s="26">
        <f>AL330+AG330+AA330+AT330</f>
        <v>0</v>
      </c>
      <c r="BB330" s="30">
        <f>BD330+AO330+AG330</f>
        <v>0</v>
      </c>
      <c r="BC330" s="30">
        <f>BD330+AS330</f>
        <v>0</v>
      </c>
      <c r="BD330" s="30">
        <f>IF(BA330&gt;0,Y330-BA330,BA330)</f>
        <v>0</v>
      </c>
      <c r="BE330" s="31"/>
      <c r="BF330" s="30" t="s">
        <v>57</v>
      </c>
      <c r="BG330" s="31">
        <f>BE330*Q330</f>
        <v>0</v>
      </c>
      <c r="BH330" s="31">
        <f>BE330*R330*0.4</f>
        <v>0</v>
      </c>
      <c r="BI330" s="31"/>
      <c r="BJ330" s="31"/>
      <c r="BK330" s="32">
        <f>Y330*BE330</f>
        <v>0</v>
      </c>
      <c r="BL330" s="30"/>
      <c r="BM330" s="30"/>
      <c r="BN330" s="30"/>
      <c r="BO330" s="30"/>
      <c r="BP330" s="25">
        <f>BE330*AV330</f>
        <v>0</v>
      </c>
      <c r="BQ330" s="25">
        <f>BE330*AX330</f>
        <v>0</v>
      </c>
      <c r="BR330" s="26"/>
      <c r="BS330" s="32"/>
    </row>
    <row r="331" spans="1:71" s="6" customFormat="1" ht="41.25" customHeight="1">
      <c r="A331" s="18">
        <v>328</v>
      </c>
      <c r="B331" s="18" t="s">
        <v>94</v>
      </c>
      <c r="C331" s="18" t="s">
        <v>158</v>
      </c>
      <c r="D331" s="56" t="s">
        <v>50</v>
      </c>
      <c r="E331" s="20" t="s">
        <v>378</v>
      </c>
      <c r="F331" s="52" t="s">
        <v>123</v>
      </c>
      <c r="G331" s="52"/>
      <c r="H331" s="22"/>
      <c r="I331" s="22"/>
      <c r="J331" s="22"/>
      <c r="K331" s="22"/>
      <c r="L331" s="20" t="s">
        <v>53</v>
      </c>
      <c r="M331" s="22"/>
      <c r="N331" s="22" t="s">
        <v>609</v>
      </c>
      <c r="O331" s="23"/>
      <c r="P331" s="18" t="s">
        <v>56</v>
      </c>
      <c r="Q331" s="29">
        <v>645</v>
      </c>
      <c r="R331" s="72"/>
      <c r="S331" s="25"/>
      <c r="T331" s="26"/>
      <c r="U331" s="26"/>
      <c r="V331" s="25"/>
      <c r="W331" s="153"/>
      <c r="X331" s="25"/>
      <c r="Y331" s="53">
        <f>T331+R331+Q331+U331+W331</f>
        <v>645</v>
      </c>
      <c r="Z331" s="27">
        <v>200</v>
      </c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>
        <f>SUM(AM331:AS331)</f>
        <v>0</v>
      </c>
      <c r="AM331" s="26"/>
      <c r="AN331" s="26"/>
      <c r="AO331" s="26"/>
      <c r="AP331" s="26"/>
      <c r="AQ331" s="26"/>
      <c r="AR331" s="26"/>
      <c r="AS331" s="26"/>
      <c r="AT331" s="70">
        <f>2031+645</f>
        <v>2676</v>
      </c>
      <c r="AU331" s="70">
        <v>2031</v>
      </c>
      <c r="AV331" s="26"/>
      <c r="AW331" s="26"/>
      <c r="AX331" s="70">
        <v>645</v>
      </c>
      <c r="AY331" s="72">
        <f>Y331-AV331-AX331-AW331</f>
        <v>0</v>
      </c>
      <c r="AZ331" s="68"/>
      <c r="BA331" s="26">
        <f>AL331+AG331+AA331+AT331</f>
        <v>2676</v>
      </c>
      <c r="BB331" s="30">
        <f>BD331+AO331+AG331</f>
        <v>-2031</v>
      </c>
      <c r="BC331" s="30">
        <f>BD331+AS331</f>
        <v>-2031</v>
      </c>
      <c r="BD331" s="30">
        <f>IF(BA331&gt;0,Y331-BA331,BA331)</f>
        <v>-2031</v>
      </c>
      <c r="BE331" s="31">
        <v>15</v>
      </c>
      <c r="BF331" s="30" t="s">
        <v>57</v>
      </c>
      <c r="BG331" s="31">
        <f>BE331*Q331</f>
        <v>9675</v>
      </c>
      <c r="BH331" s="31">
        <f>BE331*R331*0.4</f>
        <v>0</v>
      </c>
      <c r="BI331" s="142"/>
      <c r="BJ331" s="142"/>
      <c r="BK331" s="32">
        <f>Y331*BE331</f>
        <v>9675</v>
      </c>
      <c r="BL331" s="25"/>
      <c r="BM331" s="25"/>
      <c r="BN331" s="25"/>
      <c r="BO331" s="25">
        <v>200</v>
      </c>
      <c r="BP331" s="25">
        <f>BE331*AV331</f>
        <v>0</v>
      </c>
      <c r="BQ331" s="25">
        <f>BE331*AX331</f>
        <v>9675</v>
      </c>
      <c r="BR331" s="28"/>
      <c r="BS331" s="32"/>
    </row>
    <row r="332" spans="1:71" s="6" customFormat="1" ht="41.25" customHeight="1">
      <c r="A332" s="18">
        <v>329</v>
      </c>
      <c r="B332" s="50" t="s">
        <v>66</v>
      </c>
      <c r="C332" s="44" t="s">
        <v>139</v>
      </c>
      <c r="D332" s="18" t="s">
        <v>96</v>
      </c>
      <c r="E332" s="55" t="s">
        <v>553</v>
      </c>
      <c r="F332" s="21" t="s">
        <v>52</v>
      </c>
      <c r="G332" s="21"/>
      <c r="H332" s="50">
        <v>120</v>
      </c>
      <c r="I332" s="50">
        <v>200</v>
      </c>
      <c r="J332" s="50"/>
      <c r="K332" s="50"/>
      <c r="L332" s="20" t="s">
        <v>53</v>
      </c>
      <c r="M332" s="22"/>
      <c r="N332" s="22" t="s">
        <v>610</v>
      </c>
      <c r="O332" s="23" t="s">
        <v>611</v>
      </c>
      <c r="P332" s="18" t="s">
        <v>56</v>
      </c>
      <c r="Q332" s="72"/>
      <c r="R332" s="72"/>
      <c r="S332" s="25">
        <v>920</v>
      </c>
      <c r="T332" s="26"/>
      <c r="U332" s="26"/>
      <c r="V332" s="25">
        <v>920</v>
      </c>
      <c r="W332" s="153"/>
      <c r="X332" s="25">
        <v>552</v>
      </c>
      <c r="Y332" s="26">
        <f>T332+R332+Q332+U332+W332</f>
        <v>0</v>
      </c>
      <c r="Z332" s="27">
        <v>4600</v>
      </c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>
        <f>SUM(AM332:AS332)</f>
        <v>0</v>
      </c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72">
        <f>Y332-AV332-AX332-AW332</f>
        <v>0</v>
      </c>
      <c r="AZ332" s="68"/>
      <c r="BA332" s="26">
        <f>AL332+AG332+AA332+AT332</f>
        <v>0</v>
      </c>
      <c r="BB332" s="30">
        <f>BD332+AO332+AG332</f>
        <v>0</v>
      </c>
      <c r="BC332" s="30">
        <f>BD332+AS332</f>
        <v>0</v>
      </c>
      <c r="BD332" s="30">
        <f>IF(BA332&gt;0,Y332-BA332,BA332)</f>
        <v>0</v>
      </c>
      <c r="BE332" s="31">
        <v>30</v>
      </c>
      <c r="BF332" s="30" t="s">
        <v>57</v>
      </c>
      <c r="BG332" s="31">
        <f>BE332*Q332</f>
        <v>0</v>
      </c>
      <c r="BH332" s="31">
        <f>BE332*R332*0.4</f>
        <v>0</v>
      </c>
      <c r="BI332" s="142"/>
      <c r="BJ332" s="142"/>
      <c r="BK332" s="32">
        <f>Y332*BE332</f>
        <v>0</v>
      </c>
      <c r="BL332" s="25">
        <v>552</v>
      </c>
      <c r="BM332" s="25">
        <v>552</v>
      </c>
      <c r="BN332" s="25">
        <v>552</v>
      </c>
      <c r="BO332" s="25">
        <v>552</v>
      </c>
      <c r="BP332" s="25">
        <f>BE332*AV332</f>
        <v>0</v>
      </c>
      <c r="BQ332" s="25">
        <f>BE332*AX332</f>
        <v>0</v>
      </c>
      <c r="BR332" s="28"/>
      <c r="BS332" s="32"/>
    </row>
    <row r="333" spans="1:71" s="6" customFormat="1" ht="41.25" customHeight="1">
      <c r="A333" s="18">
        <v>330</v>
      </c>
      <c r="B333" s="18" t="s">
        <v>94</v>
      </c>
      <c r="C333" s="18" t="s">
        <v>485</v>
      </c>
      <c r="D333" s="18" t="s">
        <v>96</v>
      </c>
      <c r="E333" s="20" t="s">
        <v>615</v>
      </c>
      <c r="F333" s="58" t="s">
        <v>146</v>
      </c>
      <c r="G333" s="58"/>
      <c r="H333" s="22"/>
      <c r="I333" s="22"/>
      <c r="J333" s="22"/>
      <c r="K333" s="22"/>
      <c r="L333" s="20" t="s">
        <v>53</v>
      </c>
      <c r="M333" s="22"/>
      <c r="N333" s="22" t="s">
        <v>616</v>
      </c>
      <c r="O333" s="23"/>
      <c r="P333" s="18" t="s">
        <v>56</v>
      </c>
      <c r="Q333" s="72"/>
      <c r="R333" s="72"/>
      <c r="S333" s="25">
        <v>40</v>
      </c>
      <c r="T333" s="26"/>
      <c r="U333" s="26"/>
      <c r="V333" s="25">
        <v>40</v>
      </c>
      <c r="W333" s="26"/>
      <c r="X333" s="25">
        <v>40</v>
      </c>
      <c r="Y333" s="26">
        <f>T333+R333+Q333+U333+W333</f>
        <v>0</v>
      </c>
      <c r="Z333" s="27">
        <v>280</v>
      </c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>
        <f>SUM(AM333:AS333)</f>
        <v>0</v>
      </c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72">
        <f>Y333-AV333-AX333-AW333</f>
        <v>0</v>
      </c>
      <c r="AZ333" s="68"/>
      <c r="BA333" s="26">
        <f>AL333+AG333+AA333+AT333</f>
        <v>0</v>
      </c>
      <c r="BB333" s="30">
        <f>BD333+AO333+AG333</f>
        <v>0</v>
      </c>
      <c r="BC333" s="30">
        <f>BD333+AS333</f>
        <v>0</v>
      </c>
      <c r="BD333" s="30">
        <f>IF(BA333&gt;0,Y333-BA333,BA333)</f>
        <v>0</v>
      </c>
      <c r="BE333" s="31">
        <v>8</v>
      </c>
      <c r="BF333" s="30" t="s">
        <v>57</v>
      </c>
      <c r="BG333" s="31">
        <f>BE333*Q333</f>
        <v>0</v>
      </c>
      <c r="BH333" s="31">
        <f>BE333*R333*0.4</f>
        <v>0</v>
      </c>
      <c r="BI333" s="142"/>
      <c r="BJ333" s="142"/>
      <c r="BK333" s="32">
        <f>Y333*BE333</f>
        <v>0</v>
      </c>
      <c r="BL333" s="25">
        <v>40</v>
      </c>
      <c r="BM333" s="25">
        <v>40</v>
      </c>
      <c r="BN333" s="25">
        <v>40</v>
      </c>
      <c r="BO333" s="25">
        <v>40</v>
      </c>
      <c r="BP333" s="25">
        <f>BE333*AV333</f>
        <v>0</v>
      </c>
      <c r="BQ333" s="25">
        <f>BE333*AX333</f>
        <v>0</v>
      </c>
      <c r="BR333" s="28"/>
      <c r="BS333" s="32"/>
    </row>
    <row r="334" spans="1:71" s="6" customFormat="1" ht="41.25" customHeight="1">
      <c r="A334" s="18">
        <v>331</v>
      </c>
      <c r="B334" s="18" t="s">
        <v>94</v>
      </c>
      <c r="C334" s="18" t="s">
        <v>144</v>
      </c>
      <c r="D334" s="18" t="s">
        <v>96</v>
      </c>
      <c r="E334" s="20" t="s">
        <v>569</v>
      </c>
      <c r="F334" s="58" t="s">
        <v>146</v>
      </c>
      <c r="G334" s="58"/>
      <c r="H334" s="22"/>
      <c r="I334" s="22"/>
      <c r="J334" s="22"/>
      <c r="K334" s="22"/>
      <c r="L334" s="20" t="s">
        <v>53</v>
      </c>
      <c r="M334" s="22"/>
      <c r="N334" s="22" t="s">
        <v>617</v>
      </c>
      <c r="O334" s="23"/>
      <c r="P334" s="18" t="s">
        <v>56</v>
      </c>
      <c r="Q334" s="72"/>
      <c r="R334" s="72"/>
      <c r="S334" s="25">
        <v>60</v>
      </c>
      <c r="T334" s="26"/>
      <c r="U334" s="26"/>
      <c r="V334" s="25">
        <v>60</v>
      </c>
      <c r="W334" s="26"/>
      <c r="X334" s="25">
        <v>60</v>
      </c>
      <c r="Y334" s="26">
        <f>T334+R334+Q334+U334+W334</f>
        <v>0</v>
      </c>
      <c r="Z334" s="27">
        <v>420</v>
      </c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>
        <f>SUM(AM334:AS334)</f>
        <v>0</v>
      </c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72">
        <f>Y334-AV334-AX334-AW334</f>
        <v>0</v>
      </c>
      <c r="AZ334" s="68"/>
      <c r="BA334" s="26">
        <f>AL334+AG334+AA334+AT334</f>
        <v>0</v>
      </c>
      <c r="BB334" s="30">
        <f>BD334+AO334+AG334</f>
        <v>0</v>
      </c>
      <c r="BC334" s="30">
        <f>BD334+AS334</f>
        <v>0</v>
      </c>
      <c r="BD334" s="30">
        <f>IF(BA334&gt;0,Y334-BA334,BA334)</f>
        <v>0</v>
      </c>
      <c r="BE334" s="31">
        <v>57</v>
      </c>
      <c r="BF334" s="30" t="s">
        <v>57</v>
      </c>
      <c r="BG334" s="31">
        <f>BE334*Q334</f>
        <v>0</v>
      </c>
      <c r="BH334" s="31">
        <f>BE334*R334*0.4</f>
        <v>0</v>
      </c>
      <c r="BI334" s="31"/>
      <c r="BJ334" s="31"/>
      <c r="BK334" s="32">
        <f>Y334*BE334</f>
        <v>0</v>
      </c>
      <c r="BL334" s="25">
        <v>60</v>
      </c>
      <c r="BM334" s="25">
        <v>60</v>
      </c>
      <c r="BN334" s="25">
        <v>60</v>
      </c>
      <c r="BO334" s="25">
        <v>60</v>
      </c>
      <c r="BP334" s="25">
        <f>BE334*AV334</f>
        <v>0</v>
      </c>
      <c r="BQ334" s="25">
        <f>BE334*AX334</f>
        <v>0</v>
      </c>
      <c r="BR334" s="28"/>
      <c r="BS334" s="32"/>
    </row>
    <row r="335" spans="1:71" s="6" customFormat="1" ht="41.25" customHeight="1">
      <c r="A335" s="18">
        <v>332</v>
      </c>
      <c r="B335" s="18" t="s">
        <v>94</v>
      </c>
      <c r="C335" s="18" t="s">
        <v>166</v>
      </c>
      <c r="D335" s="18" t="s">
        <v>96</v>
      </c>
      <c r="E335" s="20" t="s">
        <v>477</v>
      </c>
      <c r="F335" s="48" t="s">
        <v>98</v>
      </c>
      <c r="G335" s="48"/>
      <c r="H335" s="22"/>
      <c r="I335" s="22"/>
      <c r="J335" s="22"/>
      <c r="K335" s="22"/>
      <c r="L335" s="20" t="s">
        <v>53</v>
      </c>
      <c r="M335" s="22"/>
      <c r="N335" s="22" t="s">
        <v>618</v>
      </c>
      <c r="O335" s="23"/>
      <c r="P335" s="38" t="s">
        <v>56</v>
      </c>
      <c r="Q335" s="72"/>
      <c r="R335" s="72"/>
      <c r="S335" s="40">
        <v>20</v>
      </c>
      <c r="T335" s="26"/>
      <c r="U335" s="26"/>
      <c r="V335" s="25">
        <v>20</v>
      </c>
      <c r="W335" s="26"/>
      <c r="X335" s="25">
        <v>20</v>
      </c>
      <c r="Y335" s="26">
        <f>T335+R335+Q335+U335+W335</f>
        <v>0</v>
      </c>
      <c r="Z335" s="27">
        <v>140</v>
      </c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>
        <f>SUM(AM335:AS335)</f>
        <v>0</v>
      </c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72">
        <f>Y335-AV335-AX335-AW335</f>
        <v>0</v>
      </c>
      <c r="AZ335" s="68"/>
      <c r="BA335" s="26">
        <f>AL335+AG335+AA335+AT335</f>
        <v>0</v>
      </c>
      <c r="BB335" s="30">
        <f>BD335+AO335+AG335</f>
        <v>0</v>
      </c>
      <c r="BC335" s="30">
        <f>BD335+AS335</f>
        <v>0</v>
      </c>
      <c r="BD335" s="30">
        <f>IF(BA335&gt;0,Y335-BA335,BA335)</f>
        <v>0</v>
      </c>
      <c r="BE335" s="31">
        <v>8</v>
      </c>
      <c r="BF335" s="30" t="s">
        <v>57</v>
      </c>
      <c r="BG335" s="31">
        <f>BE335*Q335</f>
        <v>0</v>
      </c>
      <c r="BH335" s="31">
        <f>BE335*R335*0.4</f>
        <v>0</v>
      </c>
      <c r="BI335" s="31"/>
      <c r="BJ335" s="31"/>
      <c r="BK335" s="32">
        <f>Y335*BE335</f>
        <v>0</v>
      </c>
      <c r="BL335" s="25">
        <v>20</v>
      </c>
      <c r="BM335" s="25">
        <v>20</v>
      </c>
      <c r="BN335" s="25">
        <v>20</v>
      </c>
      <c r="BO335" s="25">
        <v>20</v>
      </c>
      <c r="BP335" s="25">
        <f>BE335*AV335</f>
        <v>0</v>
      </c>
      <c r="BQ335" s="25">
        <f>BE335*AX335</f>
        <v>0</v>
      </c>
      <c r="BR335" s="28"/>
      <c r="BS335" s="32"/>
    </row>
    <row r="336" spans="1:71" s="6" customFormat="1" ht="41.25" customHeight="1">
      <c r="A336" s="18">
        <v>333</v>
      </c>
      <c r="B336" s="18" t="s">
        <v>87</v>
      </c>
      <c r="C336" s="18" t="s">
        <v>88</v>
      </c>
      <c r="D336" s="47" t="s">
        <v>89</v>
      </c>
      <c r="E336" s="22" t="s">
        <v>619</v>
      </c>
      <c r="F336" s="36" t="s">
        <v>70</v>
      </c>
      <c r="G336" s="36"/>
      <c r="H336" s="22"/>
      <c r="I336" s="37" t="s">
        <v>91</v>
      </c>
      <c r="J336" s="37"/>
      <c r="K336" s="37"/>
      <c r="L336" s="22"/>
      <c r="M336" s="22"/>
      <c r="N336" s="22" t="s">
        <v>620</v>
      </c>
      <c r="O336" s="23" t="s">
        <v>621</v>
      </c>
      <c r="P336" s="18" t="s">
        <v>56</v>
      </c>
      <c r="Q336" s="72"/>
      <c r="R336" s="72"/>
      <c r="S336" s="25">
        <v>5</v>
      </c>
      <c r="T336" s="26"/>
      <c r="U336" s="26"/>
      <c r="V336" s="25"/>
      <c r="W336" s="26"/>
      <c r="X336" s="25"/>
      <c r="Y336" s="26">
        <f>T336+R336+Q336+U336+W336</f>
        <v>0</v>
      </c>
      <c r="Z336" s="27">
        <v>5</v>
      </c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>
        <f>SUM(AM336:AS336)</f>
        <v>0</v>
      </c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72">
        <f>Y336-AV336-AX336-AW336</f>
        <v>0</v>
      </c>
      <c r="AZ336" s="68"/>
      <c r="BA336" s="26">
        <f>AL336+AG336+AA336+AT336</f>
        <v>0</v>
      </c>
      <c r="BB336" s="30">
        <f>BD336+AO336+AG336</f>
        <v>0</v>
      </c>
      <c r="BC336" s="30">
        <f>BD336+AS336</f>
        <v>0</v>
      </c>
      <c r="BD336" s="30">
        <f>IF(BA336&gt;0,Y336-BA336,BA336)</f>
        <v>0</v>
      </c>
      <c r="BE336" s="31">
        <v>690</v>
      </c>
      <c r="BF336" s="30" t="s">
        <v>57</v>
      </c>
      <c r="BG336" s="31">
        <f>BE336*Q336</f>
        <v>0</v>
      </c>
      <c r="BH336" s="31">
        <f>BE336*R336*0.4</f>
        <v>0</v>
      </c>
      <c r="BI336" s="31"/>
      <c r="BJ336" s="31"/>
      <c r="BK336" s="32">
        <f>Y336*BE336</f>
        <v>0</v>
      </c>
      <c r="BL336" s="25"/>
      <c r="BM336" s="25"/>
      <c r="BN336" s="25"/>
      <c r="BO336" s="25"/>
      <c r="BP336" s="25">
        <f>BE336*AV336</f>
        <v>0</v>
      </c>
      <c r="BQ336" s="25">
        <f>BE336*AX336</f>
        <v>0</v>
      </c>
      <c r="BR336" s="28"/>
      <c r="BS336" s="32"/>
    </row>
    <row r="337" spans="1:71" s="6" customFormat="1" ht="41.25" customHeight="1">
      <c r="A337" s="18">
        <v>334</v>
      </c>
      <c r="B337" s="18" t="s">
        <v>94</v>
      </c>
      <c r="C337" s="18" t="s">
        <v>215</v>
      </c>
      <c r="D337" s="18" t="s">
        <v>96</v>
      </c>
      <c r="E337" s="20" t="s">
        <v>579</v>
      </c>
      <c r="F337" s="21" t="s">
        <v>52</v>
      </c>
      <c r="G337" s="21"/>
      <c r="H337" s="22"/>
      <c r="I337" s="22"/>
      <c r="J337" s="22"/>
      <c r="K337" s="22"/>
      <c r="L337" s="20" t="s">
        <v>53</v>
      </c>
      <c r="M337" s="22"/>
      <c r="N337" s="76" t="s">
        <v>627</v>
      </c>
      <c r="O337" s="23" t="s">
        <v>628</v>
      </c>
      <c r="P337" s="18" t="s">
        <v>56</v>
      </c>
      <c r="Q337" s="72"/>
      <c r="R337" s="72"/>
      <c r="S337" s="25"/>
      <c r="T337" s="26"/>
      <c r="U337" s="26"/>
      <c r="V337" s="25"/>
      <c r="W337" s="26"/>
      <c r="X337" s="25"/>
      <c r="Y337" s="53">
        <f>T337+R337+Q337+U337+W337</f>
        <v>0</v>
      </c>
      <c r="Z337" s="27">
        <v>200</v>
      </c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>
        <f>SUM(AM337:AS337)</f>
        <v>0</v>
      </c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72">
        <f>Y337-AV337-AX337-AW337</f>
        <v>0</v>
      </c>
      <c r="AZ337" s="68"/>
      <c r="BA337" s="26">
        <f>AL337+AG337+AA337+AT337</f>
        <v>0</v>
      </c>
      <c r="BB337" s="30">
        <f>BD337+AO337+AG337</f>
        <v>0</v>
      </c>
      <c r="BC337" s="30">
        <f>BD337+AS337</f>
        <v>0</v>
      </c>
      <c r="BD337" s="30">
        <f>IF(BA337&gt;0,Y337-BA337,BA337)</f>
        <v>0</v>
      </c>
      <c r="BE337" s="31"/>
      <c r="BF337" s="30" t="s">
        <v>57</v>
      </c>
      <c r="BG337" s="31">
        <f>BE337*Q337</f>
        <v>0</v>
      </c>
      <c r="BH337" s="31">
        <f>BE337*R337*0.4</f>
        <v>0</v>
      </c>
      <c r="BI337" s="31"/>
      <c r="BJ337" s="31"/>
      <c r="BK337" s="32">
        <f>Y337*BE337</f>
        <v>0</v>
      </c>
      <c r="BL337" s="25"/>
      <c r="BM337" s="25"/>
      <c r="BN337" s="25"/>
      <c r="BO337" s="25">
        <v>200</v>
      </c>
      <c r="BP337" s="25">
        <f>BE337*AV337</f>
        <v>0</v>
      </c>
      <c r="BQ337" s="25">
        <f>BE337*AX337</f>
        <v>0</v>
      </c>
      <c r="BR337" s="26"/>
      <c r="BS337" s="32"/>
    </row>
    <row r="338" spans="1:71" s="6" customFormat="1" ht="41.25" customHeight="1">
      <c r="A338" s="18">
        <v>335</v>
      </c>
      <c r="B338" s="18" t="s">
        <v>94</v>
      </c>
      <c r="C338" s="18" t="s">
        <v>215</v>
      </c>
      <c r="D338" s="18" t="s">
        <v>96</v>
      </c>
      <c r="E338" s="20" t="s">
        <v>579</v>
      </c>
      <c r="F338" s="21" t="s">
        <v>52</v>
      </c>
      <c r="G338" s="21"/>
      <c r="H338" s="22"/>
      <c r="I338" s="22"/>
      <c r="J338" s="22"/>
      <c r="K338" s="22"/>
      <c r="L338" s="20" t="s">
        <v>53</v>
      </c>
      <c r="M338" s="22"/>
      <c r="N338" s="76" t="s">
        <v>629</v>
      </c>
      <c r="O338" s="23" t="s">
        <v>628</v>
      </c>
      <c r="P338" s="18" t="s">
        <v>56</v>
      </c>
      <c r="Q338" s="72"/>
      <c r="R338" s="72"/>
      <c r="S338" s="25"/>
      <c r="T338" s="26"/>
      <c r="U338" s="26"/>
      <c r="V338" s="25">
        <v>200</v>
      </c>
      <c r="W338" s="26"/>
      <c r="X338" s="25"/>
      <c r="Y338" s="26">
        <f>T338+R338+Q338+U338+W338</f>
        <v>0</v>
      </c>
      <c r="Z338" s="27">
        <v>200</v>
      </c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>
        <f>SUM(AM338:AS338)</f>
        <v>0</v>
      </c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72">
        <f>Y338-AV338-AX338-AW338</f>
        <v>0</v>
      </c>
      <c r="AZ338" s="68"/>
      <c r="BA338" s="26">
        <f>AL338+AG338+AA338+AT338</f>
        <v>0</v>
      </c>
      <c r="BB338" s="30">
        <f>BD338+AO338+AG338</f>
        <v>0</v>
      </c>
      <c r="BC338" s="30">
        <f>BD338+AS338</f>
        <v>0</v>
      </c>
      <c r="BD338" s="30">
        <f>IF(BA338&gt;0,Y338-BA338,BA338)</f>
        <v>0</v>
      </c>
      <c r="BE338" s="31"/>
      <c r="BF338" s="30" t="s">
        <v>57</v>
      </c>
      <c r="BG338" s="31">
        <f>BE338*Q338</f>
        <v>0</v>
      </c>
      <c r="BH338" s="31">
        <f>BE338*R338*0.4</f>
        <v>0</v>
      </c>
      <c r="BI338" s="142"/>
      <c r="BJ338" s="142"/>
      <c r="BK338" s="32">
        <f>Y338*BE338</f>
        <v>0</v>
      </c>
      <c r="BL338" s="25"/>
      <c r="BM338" s="25"/>
      <c r="BN338" s="25"/>
      <c r="BO338" s="25"/>
      <c r="BP338" s="25">
        <f>BE338*AV338</f>
        <v>0</v>
      </c>
      <c r="BQ338" s="25">
        <f>BE338*AX338</f>
        <v>0</v>
      </c>
      <c r="BR338" s="28"/>
      <c r="BS338" s="32"/>
    </row>
    <row r="339" spans="1:71" s="6" customFormat="1" ht="41.25" customHeight="1">
      <c r="A339" s="18">
        <v>336</v>
      </c>
      <c r="B339" s="18" t="s">
        <v>94</v>
      </c>
      <c r="C339" s="18" t="s">
        <v>144</v>
      </c>
      <c r="D339" s="18" t="s">
        <v>96</v>
      </c>
      <c r="E339" s="20" t="s">
        <v>630</v>
      </c>
      <c r="F339" s="58" t="s">
        <v>146</v>
      </c>
      <c r="G339" s="58"/>
      <c r="H339" s="22"/>
      <c r="I339" s="22"/>
      <c r="J339" s="22"/>
      <c r="K339" s="22"/>
      <c r="L339" s="20" t="s">
        <v>53</v>
      </c>
      <c r="M339" s="22"/>
      <c r="N339" s="22" t="s">
        <v>631</v>
      </c>
      <c r="O339" s="23"/>
      <c r="P339" s="18" t="s">
        <v>56</v>
      </c>
      <c r="Q339" s="72"/>
      <c r="R339" s="72"/>
      <c r="S339" s="25">
        <v>60</v>
      </c>
      <c r="T339" s="26"/>
      <c r="U339" s="26"/>
      <c r="V339" s="25">
        <v>60</v>
      </c>
      <c r="W339" s="26"/>
      <c r="X339" s="25">
        <v>60</v>
      </c>
      <c r="Y339" s="26">
        <f>T339+R339+Q339+U339+W339</f>
        <v>0</v>
      </c>
      <c r="Z339" s="27">
        <v>420</v>
      </c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>
        <f>SUM(AM339:AS339)</f>
        <v>0</v>
      </c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72">
        <f>Y339-AV339-AX339-AW339</f>
        <v>0</v>
      </c>
      <c r="AZ339" s="68"/>
      <c r="BA339" s="26">
        <f>AL339+AG339+AA339+AT339</f>
        <v>0</v>
      </c>
      <c r="BB339" s="30">
        <f>BD339+AO339+AG339</f>
        <v>0</v>
      </c>
      <c r="BC339" s="30">
        <f>BD339+AS339</f>
        <v>0</v>
      </c>
      <c r="BD339" s="30">
        <f>IF(BA339&gt;0,Y339-BA339,BA339)</f>
        <v>0</v>
      </c>
      <c r="BE339" s="31">
        <v>57</v>
      </c>
      <c r="BF339" s="30" t="s">
        <v>57</v>
      </c>
      <c r="BG339" s="31">
        <f>BE339*Q339</f>
        <v>0</v>
      </c>
      <c r="BH339" s="31">
        <f>BE339*R339*0.4</f>
        <v>0</v>
      </c>
      <c r="BI339" s="142"/>
      <c r="BJ339" s="142"/>
      <c r="BK339" s="32">
        <f>Y339*BE339</f>
        <v>0</v>
      </c>
      <c r="BL339" s="25">
        <v>60</v>
      </c>
      <c r="BM339" s="25">
        <v>60</v>
      </c>
      <c r="BN339" s="25">
        <v>60</v>
      </c>
      <c r="BO339" s="25">
        <v>60</v>
      </c>
      <c r="BP339" s="25">
        <f>BE339*AV339</f>
        <v>0</v>
      </c>
      <c r="BQ339" s="25">
        <f>BE339*AX339</f>
        <v>0</v>
      </c>
      <c r="BR339" s="26"/>
      <c r="BS339" s="32"/>
    </row>
    <row r="340" spans="1:71" s="6" customFormat="1" ht="41.25" customHeight="1">
      <c r="A340" s="18">
        <v>337</v>
      </c>
      <c r="B340" s="50" t="s">
        <v>94</v>
      </c>
      <c r="C340" s="44" t="s">
        <v>215</v>
      </c>
      <c r="D340" s="18" t="s">
        <v>96</v>
      </c>
      <c r="E340" s="55" t="s">
        <v>579</v>
      </c>
      <c r="F340" s="21" t="s">
        <v>52</v>
      </c>
      <c r="G340" s="21"/>
      <c r="H340" s="50"/>
      <c r="I340" s="50"/>
      <c r="J340" s="50"/>
      <c r="K340" s="50"/>
      <c r="L340" s="20" t="s">
        <v>53</v>
      </c>
      <c r="M340" s="22"/>
      <c r="N340" s="22" t="s">
        <v>632</v>
      </c>
      <c r="O340" s="23" t="s">
        <v>633</v>
      </c>
      <c r="P340" s="18" t="s">
        <v>56</v>
      </c>
      <c r="Q340" s="42"/>
      <c r="R340" s="26"/>
      <c r="S340" s="25"/>
      <c r="T340" s="26"/>
      <c r="U340" s="26"/>
      <c r="V340" s="25"/>
      <c r="W340" s="26"/>
      <c r="X340" s="25">
        <v>200</v>
      </c>
      <c r="Y340" s="26">
        <f>T340+R340+Q340+U340+W340</f>
        <v>0</v>
      </c>
      <c r="Z340" s="27">
        <v>200</v>
      </c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>
        <f>SUM(AM340:AS340)</f>
        <v>0</v>
      </c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72">
        <f>Y340-AV340-AX340-AW340</f>
        <v>0</v>
      </c>
      <c r="AZ340" s="68"/>
      <c r="BA340" s="26">
        <f>AL340+AG340+AA340+AT340</f>
        <v>0</v>
      </c>
      <c r="BB340" s="30">
        <f>BD340+AO340+AG340</f>
        <v>0</v>
      </c>
      <c r="BC340" s="30">
        <f>BD340+AS340</f>
        <v>0</v>
      </c>
      <c r="BD340" s="30">
        <f>IF(BA340&gt;0,Y340-BA340,BA340)</f>
        <v>0</v>
      </c>
      <c r="BE340" s="31">
        <v>5</v>
      </c>
      <c r="BF340" s="30" t="s">
        <v>57</v>
      </c>
      <c r="BG340" s="31">
        <f>BE340*Q340</f>
        <v>0</v>
      </c>
      <c r="BH340" s="31">
        <f>BE340*R340*0.4</f>
        <v>0</v>
      </c>
      <c r="BI340" s="31"/>
      <c r="BJ340" s="31"/>
      <c r="BK340" s="32">
        <f>Y340*BE340</f>
        <v>0</v>
      </c>
      <c r="BL340" s="25"/>
      <c r="BM340" s="25"/>
      <c r="BN340" s="25"/>
      <c r="BO340" s="25"/>
      <c r="BP340" s="25">
        <f>BE340*AV340</f>
        <v>0</v>
      </c>
      <c r="BQ340" s="25">
        <f>BE340*AX340</f>
        <v>0</v>
      </c>
      <c r="BR340" s="26"/>
      <c r="BS340" s="32"/>
    </row>
    <row r="341" spans="1:71" s="6" customFormat="1" ht="41.25" customHeight="1">
      <c r="A341" s="18">
        <v>338</v>
      </c>
      <c r="B341" s="18" t="s">
        <v>94</v>
      </c>
      <c r="C341" s="18" t="s">
        <v>485</v>
      </c>
      <c r="D341" s="18" t="s">
        <v>96</v>
      </c>
      <c r="E341" s="22" t="s">
        <v>615</v>
      </c>
      <c r="F341" s="58" t="s">
        <v>146</v>
      </c>
      <c r="G341" s="58"/>
      <c r="H341" s="22"/>
      <c r="I341" s="22"/>
      <c r="J341" s="22"/>
      <c r="K341" s="22"/>
      <c r="L341" s="22"/>
      <c r="M341" s="22"/>
      <c r="N341" s="22" t="s">
        <v>634</v>
      </c>
      <c r="O341" s="23"/>
      <c r="P341" s="38" t="s">
        <v>56</v>
      </c>
      <c r="Q341" s="29">
        <v>40</v>
      </c>
      <c r="R341" s="72"/>
      <c r="S341" s="40">
        <v>40</v>
      </c>
      <c r="T341" s="26"/>
      <c r="U341" s="26"/>
      <c r="V341" s="25">
        <v>40</v>
      </c>
      <c r="W341" s="26"/>
      <c r="X341" s="25">
        <v>40</v>
      </c>
      <c r="Y341" s="53">
        <f>T341+R341+Q341+U341+W341</f>
        <v>40</v>
      </c>
      <c r="Z341" s="27">
        <v>280</v>
      </c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>
        <f>SUM(AM341:AS341)</f>
        <v>0</v>
      </c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9">
        <f>Y341-AV341-AX341-AW341</f>
        <v>40</v>
      </c>
      <c r="AZ341" s="29">
        <f>'Layout for shadhous 3'!I57</f>
        <v>36</v>
      </c>
      <c r="BA341" s="26">
        <f>AL341+AG341+AA341+AT341</f>
        <v>0</v>
      </c>
      <c r="BB341" s="30">
        <f>BD341+AO341+AG341</f>
        <v>0</v>
      </c>
      <c r="BC341" s="30">
        <f>BD341+AS341</f>
        <v>0</v>
      </c>
      <c r="BD341" s="30">
        <f>IF(BA341&gt;0,Y341-BA341,BA341)</f>
        <v>0</v>
      </c>
      <c r="BE341" s="31">
        <v>8</v>
      </c>
      <c r="BF341" s="30" t="s">
        <v>57</v>
      </c>
      <c r="BG341" s="31">
        <f>BE341*Q341</f>
        <v>320</v>
      </c>
      <c r="BH341" s="31">
        <f>BE341*R341*0.4</f>
        <v>0</v>
      </c>
      <c r="BI341" s="142"/>
      <c r="BJ341" s="142"/>
      <c r="BK341" s="32">
        <f>Y341*BE341</f>
        <v>320</v>
      </c>
      <c r="BL341" s="25">
        <v>40</v>
      </c>
      <c r="BM341" s="25">
        <v>40</v>
      </c>
      <c r="BN341" s="25">
        <v>40</v>
      </c>
      <c r="BO341" s="25">
        <v>40</v>
      </c>
      <c r="BP341" s="25">
        <f>BE341*AV341</f>
        <v>0</v>
      </c>
      <c r="BQ341" s="25">
        <f>BE341*AX341</f>
        <v>0</v>
      </c>
      <c r="BR341" s="28"/>
      <c r="BS341" s="32"/>
    </row>
    <row r="342" spans="1:71" s="6" customFormat="1" ht="41.25" customHeight="1">
      <c r="A342" s="18">
        <v>339</v>
      </c>
      <c r="B342" s="18" t="s">
        <v>94</v>
      </c>
      <c r="C342" s="66" t="s">
        <v>215</v>
      </c>
      <c r="D342" s="18" t="s">
        <v>96</v>
      </c>
      <c r="E342" s="20" t="s">
        <v>579</v>
      </c>
      <c r="F342" s="21" t="s">
        <v>52</v>
      </c>
      <c r="G342" s="21"/>
      <c r="H342" s="50"/>
      <c r="I342" s="50"/>
      <c r="J342" s="50"/>
      <c r="K342" s="50"/>
      <c r="L342" s="20" t="s">
        <v>53</v>
      </c>
      <c r="M342" s="22"/>
      <c r="N342" s="22" t="s">
        <v>635</v>
      </c>
      <c r="O342" s="23"/>
      <c r="P342" s="18" t="s">
        <v>56</v>
      </c>
      <c r="Q342" s="72"/>
      <c r="R342" s="72"/>
      <c r="S342" s="25"/>
      <c r="T342" s="26"/>
      <c r="U342" s="26"/>
      <c r="V342" s="25"/>
      <c r="W342" s="26"/>
      <c r="X342" s="25"/>
      <c r="Y342" s="26">
        <f>T342+R342+Q342+U342+W342</f>
        <v>0</v>
      </c>
      <c r="Z342" s="27">
        <v>200</v>
      </c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>
        <f>SUM(AM342:AS342)</f>
        <v>0</v>
      </c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72">
        <f>Y342-AV342-AX342-AW342</f>
        <v>0</v>
      </c>
      <c r="AZ342" s="68"/>
      <c r="BA342" s="26">
        <f>AL342+AG342+AA342+AT342</f>
        <v>0</v>
      </c>
      <c r="BB342" s="30">
        <f>BD342+AO342+AG342</f>
        <v>0</v>
      </c>
      <c r="BC342" s="30">
        <f>BD342+AS342</f>
        <v>0</v>
      </c>
      <c r="BD342" s="30">
        <f>IF(BA342&gt;0,Y342-BA342,BA342)</f>
        <v>0</v>
      </c>
      <c r="BE342" s="31"/>
      <c r="BF342" s="30" t="s">
        <v>57</v>
      </c>
      <c r="BG342" s="31">
        <f>BE342*Q342</f>
        <v>0</v>
      </c>
      <c r="BH342" s="31">
        <f>BE342*R342*0.4</f>
        <v>0</v>
      </c>
      <c r="BI342" s="142"/>
      <c r="BJ342" s="142"/>
      <c r="BK342" s="32">
        <f>Y342*BE342</f>
        <v>0</v>
      </c>
      <c r="BL342" s="25">
        <v>200</v>
      </c>
      <c r="BM342" s="25"/>
      <c r="BN342" s="25"/>
      <c r="BO342" s="25"/>
      <c r="BP342" s="25">
        <f>BE342*AV342</f>
        <v>0</v>
      </c>
      <c r="BQ342" s="25">
        <f>BE342*AX342</f>
        <v>0</v>
      </c>
      <c r="BR342" s="26"/>
      <c r="BS342" s="32"/>
    </row>
    <row r="343" spans="1:71" s="6" customFormat="1" ht="41.25" customHeight="1">
      <c r="A343" s="18">
        <v>340</v>
      </c>
      <c r="B343" s="18" t="s">
        <v>94</v>
      </c>
      <c r="C343" s="18" t="s">
        <v>121</v>
      </c>
      <c r="D343" s="18" t="s">
        <v>96</v>
      </c>
      <c r="E343" s="22" t="s">
        <v>636</v>
      </c>
      <c r="F343" s="52" t="s">
        <v>123</v>
      </c>
      <c r="G343" s="52"/>
      <c r="H343" s="22"/>
      <c r="I343" s="22"/>
      <c r="J343" s="22"/>
      <c r="K343" s="22"/>
      <c r="L343" s="22"/>
      <c r="M343" s="22"/>
      <c r="N343" s="22" t="s">
        <v>637</v>
      </c>
      <c r="O343" s="23"/>
      <c r="P343" s="46" t="s">
        <v>56</v>
      </c>
      <c r="Q343" s="72"/>
      <c r="R343" s="72"/>
      <c r="S343" s="83">
        <v>40</v>
      </c>
      <c r="T343" s="26"/>
      <c r="U343" s="26"/>
      <c r="V343" s="25">
        <v>40</v>
      </c>
      <c r="W343" s="26"/>
      <c r="X343" s="25">
        <v>40</v>
      </c>
      <c r="Y343" s="26">
        <f>T343+R343+Q343+U343+W343</f>
        <v>0</v>
      </c>
      <c r="Z343" s="27">
        <v>280</v>
      </c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>
        <f>SUM(AM343:AS343)</f>
        <v>0</v>
      </c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72">
        <f>Y343-AV343-AX343-AW343</f>
        <v>0</v>
      </c>
      <c r="AZ343" s="68"/>
      <c r="BA343" s="26">
        <f>AL343+AG343+AA343+AT343</f>
        <v>0</v>
      </c>
      <c r="BB343" s="30">
        <f>BD343+AO343+AG343</f>
        <v>0</v>
      </c>
      <c r="BC343" s="30">
        <f>BD343+AS343</f>
        <v>0</v>
      </c>
      <c r="BD343" s="30">
        <f>IF(BA343&gt;0,Y343-BA343,BA343)</f>
        <v>0</v>
      </c>
      <c r="BE343" s="31">
        <v>5</v>
      </c>
      <c r="BF343" s="30" t="s">
        <v>57</v>
      </c>
      <c r="BG343" s="31">
        <f>BE343*Q343</f>
        <v>0</v>
      </c>
      <c r="BH343" s="31">
        <f>BE343*R343*0.4</f>
        <v>0</v>
      </c>
      <c r="BI343" s="142"/>
      <c r="BJ343" s="142"/>
      <c r="BK343" s="32">
        <f>Y343*BE343</f>
        <v>0</v>
      </c>
      <c r="BL343" s="25">
        <v>40</v>
      </c>
      <c r="BM343" s="25">
        <v>40</v>
      </c>
      <c r="BN343" s="25">
        <v>40</v>
      </c>
      <c r="BO343" s="25">
        <v>40</v>
      </c>
      <c r="BP343" s="25">
        <f>BE343*AV343</f>
        <v>0</v>
      </c>
      <c r="BQ343" s="25">
        <f>BE343*AX343</f>
        <v>0</v>
      </c>
      <c r="BR343" s="28"/>
      <c r="BS343" s="32"/>
    </row>
    <row r="344" spans="1:71" s="6" customFormat="1" ht="41.25" customHeight="1">
      <c r="A344" s="18">
        <v>341</v>
      </c>
      <c r="B344" s="18" t="s">
        <v>94</v>
      </c>
      <c r="C344" s="18" t="s">
        <v>166</v>
      </c>
      <c r="D344" s="18" t="s">
        <v>96</v>
      </c>
      <c r="E344" s="22" t="s">
        <v>638</v>
      </c>
      <c r="F344" s="48" t="s">
        <v>98</v>
      </c>
      <c r="G344" s="48"/>
      <c r="H344" s="22"/>
      <c r="I344" s="22"/>
      <c r="J344" s="22"/>
      <c r="K344" s="22"/>
      <c r="L344" s="22"/>
      <c r="M344" s="22"/>
      <c r="N344" s="22" t="s">
        <v>639</v>
      </c>
      <c r="O344" s="23"/>
      <c r="P344" s="18" t="s">
        <v>56</v>
      </c>
      <c r="Q344" s="72"/>
      <c r="R344" s="72"/>
      <c r="S344" s="25">
        <v>20</v>
      </c>
      <c r="T344" s="26"/>
      <c r="U344" s="26"/>
      <c r="V344" s="25">
        <v>20</v>
      </c>
      <c r="W344" s="26"/>
      <c r="X344" s="25">
        <v>20</v>
      </c>
      <c r="Y344" s="26">
        <f>T344+R344+Q344+U344+W344</f>
        <v>0</v>
      </c>
      <c r="Z344" s="27">
        <v>140</v>
      </c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>
        <f>SUM(AM344:AS344)</f>
        <v>0</v>
      </c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72">
        <f>Y344-AV344-AX344-AW344</f>
        <v>0</v>
      </c>
      <c r="AZ344" s="68"/>
      <c r="BA344" s="26">
        <f>AL344+AG344+AA344+AT344</f>
        <v>0</v>
      </c>
      <c r="BB344" s="30">
        <f>BD344+AO344+AG344</f>
        <v>0</v>
      </c>
      <c r="BC344" s="30">
        <f>BD344+AS344</f>
        <v>0</v>
      </c>
      <c r="BD344" s="30">
        <f>IF(BA344&gt;0,Y344-BA344,BA344)</f>
        <v>0</v>
      </c>
      <c r="BE344" s="31">
        <v>24</v>
      </c>
      <c r="BF344" s="30" t="s">
        <v>57</v>
      </c>
      <c r="BG344" s="31">
        <f>BE344*Q344</f>
        <v>0</v>
      </c>
      <c r="BH344" s="31">
        <f>BE344*R344*0.4</f>
        <v>0</v>
      </c>
      <c r="BI344" s="142"/>
      <c r="BJ344" s="142"/>
      <c r="BK344" s="32">
        <f>Y344*BE344</f>
        <v>0</v>
      </c>
      <c r="BL344" s="25">
        <v>20</v>
      </c>
      <c r="BM344" s="25">
        <v>20</v>
      </c>
      <c r="BN344" s="25">
        <v>20</v>
      </c>
      <c r="BO344" s="25">
        <v>20</v>
      </c>
      <c r="BP344" s="25">
        <f>BE344*AV344</f>
        <v>0</v>
      </c>
      <c r="BQ344" s="25">
        <f>BE344*AX344</f>
        <v>0</v>
      </c>
      <c r="BR344" s="26"/>
      <c r="BS344" s="32"/>
    </row>
    <row r="345" spans="1:71" s="6" customFormat="1" ht="41.25" customHeight="1">
      <c r="A345" s="18">
        <v>342</v>
      </c>
      <c r="B345" s="50" t="s">
        <v>66</v>
      </c>
      <c r="C345" s="44" t="s">
        <v>139</v>
      </c>
      <c r="D345" s="56" t="s">
        <v>50</v>
      </c>
      <c r="E345" s="55" t="s">
        <v>640</v>
      </c>
      <c r="F345" s="21" t="s">
        <v>52</v>
      </c>
      <c r="G345" s="21"/>
      <c r="H345" s="50">
        <v>120</v>
      </c>
      <c r="I345" s="50">
        <v>200</v>
      </c>
      <c r="J345" s="50"/>
      <c r="K345" s="50"/>
      <c r="L345" s="55" t="s">
        <v>53</v>
      </c>
      <c r="M345" s="22"/>
      <c r="N345" s="22" t="s">
        <v>641</v>
      </c>
      <c r="O345" s="23" t="s">
        <v>642</v>
      </c>
      <c r="P345" s="18" t="s">
        <v>56</v>
      </c>
      <c r="Q345" s="29">
        <v>14</v>
      </c>
      <c r="R345" s="29">
        <v>20</v>
      </c>
      <c r="S345" s="25">
        <v>920</v>
      </c>
      <c r="T345" s="26"/>
      <c r="U345" s="26"/>
      <c r="V345" s="25">
        <v>920</v>
      </c>
      <c r="W345" s="26"/>
      <c r="X345" s="25">
        <v>552</v>
      </c>
      <c r="Y345" s="29">
        <f>T345+R345+Q345+U345+W345</f>
        <v>34</v>
      </c>
      <c r="Z345" s="27">
        <v>4600</v>
      </c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>
        <f>SUM(AM345:AS345)</f>
        <v>0</v>
      </c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9">
        <f>Y345-AV345-AX345-AW345</f>
        <v>34</v>
      </c>
      <c r="AZ345" s="29"/>
      <c r="BA345" s="26">
        <f>AL345+AG345+AA345+AT345</f>
        <v>0</v>
      </c>
      <c r="BB345" s="30">
        <f>BD345+AO345+AG345</f>
        <v>0</v>
      </c>
      <c r="BC345" s="30">
        <f>BD345+AS345</f>
        <v>0</v>
      </c>
      <c r="BD345" s="30">
        <f>IF(BA345&gt;0,Y345-BA345,BA345)</f>
        <v>0</v>
      </c>
      <c r="BE345" s="31">
        <v>30</v>
      </c>
      <c r="BF345" s="30" t="s">
        <v>57</v>
      </c>
      <c r="BG345" s="31">
        <f>BE345*Q345</f>
        <v>420</v>
      </c>
      <c r="BH345" s="31">
        <f>BE345*R345*0.4</f>
        <v>240</v>
      </c>
      <c r="BI345" s="31"/>
      <c r="BJ345" s="31"/>
      <c r="BK345" s="32">
        <f>Y345*BE345</f>
        <v>1020</v>
      </c>
      <c r="BL345" s="25">
        <v>552</v>
      </c>
      <c r="BM345" s="25">
        <v>552</v>
      </c>
      <c r="BN345" s="25">
        <v>552</v>
      </c>
      <c r="BO345" s="25">
        <v>552</v>
      </c>
      <c r="BP345" s="25">
        <f>BE345*AV345</f>
        <v>0</v>
      </c>
      <c r="BQ345" s="25">
        <f>BE345*AX345</f>
        <v>0</v>
      </c>
      <c r="BR345" s="28"/>
      <c r="BS345" s="32"/>
    </row>
    <row r="346" spans="1:71" s="6" customFormat="1" ht="41.25" customHeight="1">
      <c r="A346" s="18">
        <v>343</v>
      </c>
      <c r="B346" s="50" t="s">
        <v>94</v>
      </c>
      <c r="C346" s="44" t="s">
        <v>158</v>
      </c>
      <c r="D346" s="18" t="s">
        <v>96</v>
      </c>
      <c r="E346" s="55" t="s">
        <v>378</v>
      </c>
      <c r="F346" s="52" t="s">
        <v>123</v>
      </c>
      <c r="G346" s="52"/>
      <c r="H346" s="50"/>
      <c r="I346" s="50"/>
      <c r="J346" s="50"/>
      <c r="K346" s="50"/>
      <c r="L346" s="20" t="s">
        <v>53</v>
      </c>
      <c r="M346" s="22"/>
      <c r="N346" s="22" t="s">
        <v>643</v>
      </c>
      <c r="O346" s="23" t="s">
        <v>644</v>
      </c>
      <c r="P346" s="18" t="s">
        <v>56</v>
      </c>
      <c r="Q346" s="42"/>
      <c r="R346" s="26"/>
      <c r="S346" s="25"/>
      <c r="T346" s="29">
        <v>100</v>
      </c>
      <c r="U346" s="26"/>
      <c r="V346" s="25">
        <v>200</v>
      </c>
      <c r="W346" s="26"/>
      <c r="X346" s="25"/>
      <c r="Y346" s="53">
        <f>T346+R346+Q346+U346+W346</f>
        <v>100</v>
      </c>
      <c r="Z346" s="27">
        <v>200</v>
      </c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>
        <f>SUM(AM346:AS346)</f>
        <v>0</v>
      </c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9">
        <f>Y346-AV346-AX346-AW346</f>
        <v>100</v>
      </c>
      <c r="AZ346" s="29"/>
      <c r="BA346" s="26">
        <f>AL346+AG346+AA346+AT346</f>
        <v>0</v>
      </c>
      <c r="BB346" s="30">
        <f>BD346+AO346+AG346</f>
        <v>0</v>
      </c>
      <c r="BC346" s="30">
        <f>BD346+AS346</f>
        <v>0</v>
      </c>
      <c r="BD346" s="30">
        <f>IF(BA346&gt;0,Y346-BA346,BA346)</f>
        <v>0</v>
      </c>
      <c r="BE346" s="31">
        <v>6</v>
      </c>
      <c r="BF346" s="30" t="s">
        <v>57</v>
      </c>
      <c r="BG346" s="31">
        <f>BE346*Q346</f>
        <v>0</v>
      </c>
      <c r="BH346" s="31">
        <f>BE346*R346*0.4</f>
        <v>0</v>
      </c>
      <c r="BI346" s="142"/>
      <c r="BJ346" s="142"/>
      <c r="BK346" s="32">
        <f>Y346*BE346</f>
        <v>600</v>
      </c>
      <c r="BL346" s="25"/>
      <c r="BM346" s="25"/>
      <c r="BN346" s="25"/>
      <c r="BO346" s="25"/>
      <c r="BP346" s="25">
        <f>BE346*AV346</f>
        <v>0</v>
      </c>
      <c r="BQ346" s="25">
        <f>BE346*AX346</f>
        <v>0</v>
      </c>
      <c r="BR346" s="26"/>
      <c r="BS346" s="32"/>
    </row>
    <row r="347" spans="1:71" s="6" customFormat="1" ht="41.25" customHeight="1">
      <c r="A347" s="18">
        <v>344</v>
      </c>
      <c r="B347" s="18" t="s">
        <v>94</v>
      </c>
      <c r="C347" s="66" t="s">
        <v>158</v>
      </c>
      <c r="D347" s="18" t="s">
        <v>96</v>
      </c>
      <c r="E347" s="20" t="s">
        <v>648</v>
      </c>
      <c r="F347" s="52" t="s">
        <v>123</v>
      </c>
      <c r="G347" s="52"/>
      <c r="H347" s="50"/>
      <c r="I347" s="50"/>
      <c r="J347" s="50"/>
      <c r="K347" s="50"/>
      <c r="L347" s="20" t="s">
        <v>53</v>
      </c>
      <c r="M347" s="22"/>
      <c r="N347" s="22" t="s">
        <v>649</v>
      </c>
      <c r="O347" s="23" t="s">
        <v>650</v>
      </c>
      <c r="P347" s="18" t="s">
        <v>56</v>
      </c>
      <c r="Q347" s="72"/>
      <c r="R347" s="72"/>
      <c r="S347" s="25"/>
      <c r="T347" s="26"/>
      <c r="U347" s="26"/>
      <c r="V347" s="25"/>
      <c r="W347" s="26"/>
      <c r="X347" s="25">
        <v>200</v>
      </c>
      <c r="Y347" s="26">
        <f>T347+R347+Q347+U347+W347</f>
        <v>0</v>
      </c>
      <c r="Z347" s="27">
        <v>200</v>
      </c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>
        <f>SUM(AM347:AS347)</f>
        <v>0</v>
      </c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72">
        <f>Y347-AV347-AX347-AW347</f>
        <v>0</v>
      </c>
      <c r="AZ347" s="68"/>
      <c r="BA347" s="26">
        <f>AL347+AG347+AA347+AT347</f>
        <v>0</v>
      </c>
      <c r="BB347" s="30">
        <f>BD347+AO347+AG347</f>
        <v>0</v>
      </c>
      <c r="BC347" s="30">
        <f>BD347+AS347</f>
        <v>0</v>
      </c>
      <c r="BD347" s="30">
        <f>IF(BA347&gt;0,Y347-BA347,BA347)</f>
        <v>0</v>
      </c>
      <c r="BE347" s="31"/>
      <c r="BF347" s="30" t="s">
        <v>57</v>
      </c>
      <c r="BG347" s="31">
        <f>BE347*Q347</f>
        <v>0</v>
      </c>
      <c r="BH347" s="31">
        <f>BE347*R347*0.4</f>
        <v>0</v>
      </c>
      <c r="BI347" s="31"/>
      <c r="BJ347" s="31"/>
      <c r="BK347" s="32">
        <f>Y347*BE347</f>
        <v>0</v>
      </c>
      <c r="BL347" s="25"/>
      <c r="BM347" s="25"/>
      <c r="BN347" s="25"/>
      <c r="BO347" s="25"/>
      <c r="BP347" s="25">
        <f>BE347*AV347</f>
        <v>0</v>
      </c>
      <c r="BQ347" s="25">
        <f>BE347*AX347</f>
        <v>0</v>
      </c>
      <c r="BR347" s="26"/>
      <c r="BS347" s="32"/>
    </row>
    <row r="348" spans="1:71" s="6" customFormat="1" ht="41.25" customHeight="1">
      <c r="A348" s="18">
        <v>345</v>
      </c>
      <c r="B348" s="50" t="s">
        <v>66</v>
      </c>
      <c r="C348" s="44" t="s">
        <v>139</v>
      </c>
      <c r="D348" s="56" t="s">
        <v>50</v>
      </c>
      <c r="E348" s="55" t="s">
        <v>640</v>
      </c>
      <c r="F348" s="21" t="s">
        <v>52</v>
      </c>
      <c r="G348" s="52" t="s">
        <v>123</v>
      </c>
      <c r="H348" s="50">
        <v>120</v>
      </c>
      <c r="I348" s="50">
        <v>200</v>
      </c>
      <c r="J348" s="50"/>
      <c r="K348" s="50"/>
      <c r="L348" s="55" t="s">
        <v>53</v>
      </c>
      <c r="M348" s="22"/>
      <c r="N348" s="22" t="s">
        <v>651</v>
      </c>
      <c r="O348" s="23" t="s">
        <v>652</v>
      </c>
      <c r="P348" s="18" t="s">
        <v>56</v>
      </c>
      <c r="Q348" s="29">
        <v>238</v>
      </c>
      <c r="R348" s="72"/>
      <c r="S348" s="25">
        <v>920</v>
      </c>
      <c r="T348" s="26"/>
      <c r="U348" s="26"/>
      <c r="V348" s="25">
        <v>920</v>
      </c>
      <c r="W348" s="26"/>
      <c r="X348" s="25">
        <v>552</v>
      </c>
      <c r="Y348" s="29">
        <f>T348+R348+Q348+U348+W348</f>
        <v>238</v>
      </c>
      <c r="Z348" s="27">
        <v>4600</v>
      </c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>
        <f>SUM(AM348:AS348)</f>
        <v>0</v>
      </c>
      <c r="AM348" s="26"/>
      <c r="AN348" s="26"/>
      <c r="AO348" s="26"/>
      <c r="AP348" s="26"/>
      <c r="AQ348" s="26"/>
      <c r="AR348" s="26"/>
      <c r="AS348" s="26"/>
      <c r="AT348" s="70">
        <f>188+148</f>
        <v>336</v>
      </c>
      <c r="AU348" s="70">
        <v>188</v>
      </c>
      <c r="AV348" s="26"/>
      <c r="AW348" s="26"/>
      <c r="AX348" s="70">
        <v>148</v>
      </c>
      <c r="AY348" s="29">
        <f>Y348-AV348-AX348-AW348</f>
        <v>90</v>
      </c>
      <c r="AZ348" s="29">
        <f ca="1">'Layout for shadhous 1&amp;2'!F61</f>
        <v>90</v>
      </c>
      <c r="BA348" s="26">
        <f>AL348+AG348+AA348+AT348</f>
        <v>336</v>
      </c>
      <c r="BB348" s="30">
        <f>BD348+AO348+AG348</f>
        <v>-98</v>
      </c>
      <c r="BC348" s="30">
        <f>BD348+AS348</f>
        <v>-98</v>
      </c>
      <c r="BD348" s="30">
        <f>IF(BA348&gt;0,Y348-BA348,BA348)</f>
        <v>-98</v>
      </c>
      <c r="BE348" s="31">
        <v>30</v>
      </c>
      <c r="BF348" s="30" t="s">
        <v>57</v>
      </c>
      <c r="BG348" s="31">
        <f>BE348*Q348</f>
        <v>7140</v>
      </c>
      <c r="BH348" s="31">
        <f>BE348*R348*0.4</f>
        <v>0</v>
      </c>
      <c r="BI348" s="142"/>
      <c r="BJ348" s="142"/>
      <c r="BK348" s="32">
        <f>Y348*BE348</f>
        <v>7140</v>
      </c>
      <c r="BL348" s="25">
        <v>552</v>
      </c>
      <c r="BM348" s="25">
        <v>552</v>
      </c>
      <c r="BN348" s="25">
        <v>552</v>
      </c>
      <c r="BO348" s="25">
        <v>552</v>
      </c>
      <c r="BP348" s="25">
        <f>BE348*AV348</f>
        <v>0</v>
      </c>
      <c r="BQ348" s="25">
        <f>BE348*AX348</f>
        <v>4440</v>
      </c>
      <c r="BR348" s="26"/>
      <c r="BS348" s="32"/>
    </row>
    <row r="349" spans="1:71" s="6" customFormat="1" ht="41.25" customHeight="1">
      <c r="A349" s="18">
        <v>346</v>
      </c>
      <c r="B349" s="50" t="s">
        <v>94</v>
      </c>
      <c r="C349" s="44" t="s">
        <v>158</v>
      </c>
      <c r="D349" s="18" t="s">
        <v>96</v>
      </c>
      <c r="E349" s="55" t="s">
        <v>648</v>
      </c>
      <c r="F349" s="52" t="s">
        <v>123</v>
      </c>
      <c r="G349" s="52" t="s">
        <v>123</v>
      </c>
      <c r="H349" s="50"/>
      <c r="I349" s="50"/>
      <c r="J349" s="50"/>
      <c r="K349" s="50"/>
      <c r="L349" s="20" t="s">
        <v>53</v>
      </c>
      <c r="M349" s="22"/>
      <c r="N349" s="76" t="s">
        <v>653</v>
      </c>
      <c r="O349" s="23" t="s">
        <v>654</v>
      </c>
      <c r="P349" s="18" t="s">
        <v>56</v>
      </c>
      <c r="Q349" s="72"/>
      <c r="R349" s="72"/>
      <c r="S349" s="25"/>
      <c r="T349" s="81"/>
      <c r="U349" s="81"/>
      <c r="V349" s="25"/>
      <c r="W349" s="26"/>
      <c r="X349" s="25"/>
      <c r="Y349" s="26">
        <f>T349+R349+Q349+U349+W349</f>
        <v>0</v>
      </c>
      <c r="Z349" s="27">
        <v>200</v>
      </c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>
        <f>SUM(AM349:AS349)</f>
        <v>0</v>
      </c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72">
        <f>Y349-AV349-AX349-AW349</f>
        <v>0</v>
      </c>
      <c r="AZ349" s="68"/>
      <c r="BA349" s="26">
        <f>AL349+AG349+AA349+AT349</f>
        <v>0</v>
      </c>
      <c r="BB349" s="30">
        <f>BD349+AO349+AG349</f>
        <v>0</v>
      </c>
      <c r="BC349" s="30">
        <f>BD349+AS349</f>
        <v>0</v>
      </c>
      <c r="BD349" s="30">
        <f>IF(BA349&gt;0,Y349-BA349,BA349)</f>
        <v>0</v>
      </c>
      <c r="BE349" s="31"/>
      <c r="BF349" s="30" t="s">
        <v>57</v>
      </c>
      <c r="BG349" s="31">
        <f>BE349*Q349</f>
        <v>0</v>
      </c>
      <c r="BH349" s="31">
        <f>BE349*R349*0.4</f>
        <v>0</v>
      </c>
      <c r="BI349" s="142"/>
      <c r="BJ349" s="142"/>
      <c r="BK349" s="32">
        <f>Y349*BE349</f>
        <v>0</v>
      </c>
      <c r="BL349" s="25">
        <v>200</v>
      </c>
      <c r="BM349" s="25"/>
      <c r="BN349" s="25"/>
      <c r="BO349" s="25"/>
      <c r="BP349" s="25">
        <f>BE349*AV349</f>
        <v>0</v>
      </c>
      <c r="BQ349" s="25">
        <f>BE349*AX349</f>
        <v>0</v>
      </c>
      <c r="BR349" s="28"/>
      <c r="BS349" s="32"/>
    </row>
    <row r="350" spans="1:71" s="6" customFormat="1" ht="41.25" customHeight="1">
      <c r="A350" s="18">
        <v>347</v>
      </c>
      <c r="B350" s="18" t="s">
        <v>94</v>
      </c>
      <c r="C350" s="18" t="s">
        <v>158</v>
      </c>
      <c r="D350" s="18" t="s">
        <v>96</v>
      </c>
      <c r="E350" s="20" t="s">
        <v>648</v>
      </c>
      <c r="F350" s="52" t="s">
        <v>123</v>
      </c>
      <c r="G350" s="52" t="s">
        <v>123</v>
      </c>
      <c r="H350" s="22"/>
      <c r="I350" s="22"/>
      <c r="J350" s="22"/>
      <c r="K350" s="22"/>
      <c r="L350" s="20" t="s">
        <v>53</v>
      </c>
      <c r="M350" s="22"/>
      <c r="N350" s="76" t="s">
        <v>658</v>
      </c>
      <c r="O350" s="23" t="s">
        <v>659</v>
      </c>
      <c r="P350" s="18" t="s">
        <v>56</v>
      </c>
      <c r="Q350" s="72"/>
      <c r="R350" s="72"/>
      <c r="S350" s="25"/>
      <c r="T350" s="81"/>
      <c r="U350" s="81"/>
      <c r="V350" s="25"/>
      <c r="W350" s="26"/>
      <c r="X350" s="25"/>
      <c r="Y350" s="26">
        <f>T350+R350+Q350+U350+W350</f>
        <v>0</v>
      </c>
      <c r="Z350" s="27">
        <v>200</v>
      </c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>
        <f>SUM(AM350:AS350)</f>
        <v>0</v>
      </c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72">
        <f>Y350-AV350-AX350-AW350</f>
        <v>0</v>
      </c>
      <c r="AZ350" s="68"/>
      <c r="BA350" s="26">
        <f>AL350+AG350+AA350+AT350</f>
        <v>0</v>
      </c>
      <c r="BB350" s="30">
        <f>BD350+AO350+AG350</f>
        <v>0</v>
      </c>
      <c r="BC350" s="30">
        <f>BD350+AS350</f>
        <v>0</v>
      </c>
      <c r="BD350" s="30">
        <f>IF(BA350&gt;0,Y350-BA350,BA350)</f>
        <v>0</v>
      </c>
      <c r="BE350" s="31"/>
      <c r="BF350" s="30" t="s">
        <v>57</v>
      </c>
      <c r="BG350" s="31">
        <f>BE350*Q350</f>
        <v>0</v>
      </c>
      <c r="BH350" s="31">
        <f>BE350*R350*0.4</f>
        <v>0</v>
      </c>
      <c r="BI350" s="142"/>
      <c r="BJ350" s="142"/>
      <c r="BK350" s="32">
        <f>Y350*BE350</f>
        <v>0</v>
      </c>
      <c r="BL350" s="25"/>
      <c r="BM350" s="25">
        <v>200</v>
      </c>
      <c r="BN350" s="25"/>
      <c r="BO350" s="25"/>
      <c r="BP350" s="25">
        <f>BE350*AV350</f>
        <v>0</v>
      </c>
      <c r="BQ350" s="25">
        <f>BE350*AX350</f>
        <v>0</v>
      </c>
      <c r="BR350" s="28"/>
      <c r="BS350" s="32"/>
    </row>
    <row r="351" spans="1:71" s="6" customFormat="1" ht="41.25" customHeight="1">
      <c r="A351" s="18">
        <v>348</v>
      </c>
      <c r="B351" s="18" t="s">
        <v>94</v>
      </c>
      <c r="C351" s="18" t="s">
        <v>166</v>
      </c>
      <c r="D351" s="18" t="s">
        <v>96</v>
      </c>
      <c r="E351" s="22" t="s">
        <v>638</v>
      </c>
      <c r="F351" s="48" t="s">
        <v>98</v>
      </c>
      <c r="G351" s="48"/>
      <c r="H351" s="22"/>
      <c r="I351" s="22"/>
      <c r="J351" s="22"/>
      <c r="K351" s="22"/>
      <c r="L351" s="22"/>
      <c r="M351" s="22"/>
      <c r="N351" s="22" t="s">
        <v>660</v>
      </c>
      <c r="O351" s="23"/>
      <c r="P351" s="18" t="s">
        <v>56</v>
      </c>
      <c r="Q351" s="59"/>
      <c r="R351" s="59"/>
      <c r="S351" s="25">
        <v>20</v>
      </c>
      <c r="T351" s="26"/>
      <c r="U351" s="26"/>
      <c r="V351" s="25">
        <v>20</v>
      </c>
      <c r="W351" s="26"/>
      <c r="X351" s="25">
        <v>20</v>
      </c>
      <c r="Y351" s="26">
        <f>T351+R351+Q351+U351+W351</f>
        <v>0</v>
      </c>
      <c r="Z351" s="27">
        <v>140</v>
      </c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>
        <f>SUM(AM351:AS351)</f>
        <v>0</v>
      </c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72">
        <f>Y351-AV351-AX351-AW351</f>
        <v>0</v>
      </c>
      <c r="AZ351" s="68"/>
      <c r="BA351" s="26">
        <f>AL351+AG351+AA351+AT351</f>
        <v>0</v>
      </c>
      <c r="BB351" s="30">
        <f>BD351+AO351+AG351</f>
        <v>0</v>
      </c>
      <c r="BC351" s="30">
        <f>BD351+AS351</f>
        <v>0</v>
      </c>
      <c r="BD351" s="30">
        <f>IF(BA351&gt;0,Y351-BA351,BA351)</f>
        <v>0</v>
      </c>
      <c r="BE351" s="31">
        <v>8</v>
      </c>
      <c r="BF351" s="30" t="s">
        <v>57</v>
      </c>
      <c r="BG351" s="31">
        <f>BE351*Q351</f>
        <v>0</v>
      </c>
      <c r="BH351" s="31">
        <f>BE351*R351*0.4</f>
        <v>0</v>
      </c>
      <c r="BI351" s="142"/>
      <c r="BJ351" s="142"/>
      <c r="BK351" s="32">
        <f>Y351*BE351</f>
        <v>0</v>
      </c>
      <c r="BL351" s="25">
        <v>20</v>
      </c>
      <c r="BM351" s="25">
        <v>20</v>
      </c>
      <c r="BN351" s="25">
        <v>20</v>
      </c>
      <c r="BO351" s="25">
        <v>20</v>
      </c>
      <c r="BP351" s="25">
        <f>BE351*AV351</f>
        <v>0</v>
      </c>
      <c r="BQ351" s="25">
        <f>BE351*AX351</f>
        <v>0</v>
      </c>
      <c r="BR351" s="28"/>
      <c r="BS351" s="32"/>
    </row>
    <row r="352" spans="1:71" s="6" customFormat="1" ht="41.25" customHeight="1">
      <c r="A352" s="18">
        <v>349</v>
      </c>
      <c r="B352" s="18" t="s">
        <v>94</v>
      </c>
      <c r="C352" s="18" t="s">
        <v>209</v>
      </c>
      <c r="D352" s="18" t="s">
        <v>96</v>
      </c>
      <c r="E352" s="20" t="s">
        <v>437</v>
      </c>
      <c r="F352" s="18" t="s">
        <v>209</v>
      </c>
      <c r="G352" s="18"/>
      <c r="H352" s="22"/>
      <c r="I352" s="22"/>
      <c r="J352" s="22"/>
      <c r="K352" s="22"/>
      <c r="L352" s="20" t="s">
        <v>53</v>
      </c>
      <c r="M352" s="22"/>
      <c r="N352" s="22" t="s">
        <v>663</v>
      </c>
      <c r="O352" s="23"/>
      <c r="P352" s="18" t="s">
        <v>56</v>
      </c>
      <c r="Q352" s="72"/>
      <c r="R352" s="72"/>
      <c r="S352" s="25"/>
      <c r="T352" s="26"/>
      <c r="U352" s="26"/>
      <c r="V352" s="25"/>
      <c r="W352" s="26"/>
      <c r="X352" s="25"/>
      <c r="Y352" s="26">
        <f>T352+R352+Q352+U352+W352</f>
        <v>0</v>
      </c>
      <c r="Z352" s="27">
        <v>200</v>
      </c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>
        <f>SUM(AM352:AS352)</f>
        <v>0</v>
      </c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72">
        <f>Y352-AV352-AX352-AW352</f>
        <v>0</v>
      </c>
      <c r="AZ352" s="68"/>
      <c r="BA352" s="26">
        <f>AL352+AG352+AA352+AT352</f>
        <v>0</v>
      </c>
      <c r="BB352" s="30">
        <f>BD352+AO352+AG352</f>
        <v>0</v>
      </c>
      <c r="BC352" s="30">
        <f>BD352+AS352</f>
        <v>0</v>
      </c>
      <c r="BD352" s="30">
        <f>IF(BA352&gt;0,Y352-BA352,BA352)</f>
        <v>0</v>
      </c>
      <c r="BE352" s="31"/>
      <c r="BF352" s="30" t="s">
        <v>57</v>
      </c>
      <c r="BG352" s="31">
        <f>BE352*Q352</f>
        <v>0</v>
      </c>
      <c r="BH352" s="31">
        <f>BE352*R352*0.4</f>
        <v>0</v>
      </c>
      <c r="BI352" s="31"/>
      <c r="BJ352" s="31"/>
      <c r="BK352" s="32">
        <f>Y352*BE352</f>
        <v>0</v>
      </c>
      <c r="BL352" s="25"/>
      <c r="BM352" s="25">
        <v>200</v>
      </c>
      <c r="BN352" s="25"/>
      <c r="BO352" s="25"/>
      <c r="BP352" s="25">
        <f>BE352*AV352</f>
        <v>0</v>
      </c>
      <c r="BQ352" s="25">
        <f>BE352*AX352</f>
        <v>0</v>
      </c>
      <c r="BR352" s="28"/>
      <c r="BS352" s="32"/>
    </row>
    <row r="353" spans="1:71" s="6" customFormat="1" ht="41.25" customHeight="1">
      <c r="A353" s="18">
        <v>350</v>
      </c>
      <c r="B353" s="18" t="s">
        <v>48</v>
      </c>
      <c r="C353" s="18" t="s">
        <v>49</v>
      </c>
      <c r="D353" s="19" t="s">
        <v>50</v>
      </c>
      <c r="E353" s="20" t="s">
        <v>664</v>
      </c>
      <c r="F353" s="52" t="s">
        <v>123</v>
      </c>
      <c r="G353" s="52" t="s">
        <v>123</v>
      </c>
      <c r="H353" s="22">
        <v>50</v>
      </c>
      <c r="I353" s="22"/>
      <c r="J353" s="22"/>
      <c r="K353" s="22"/>
      <c r="L353" s="20" t="s">
        <v>53</v>
      </c>
      <c r="M353" s="22"/>
      <c r="N353" s="22" t="s">
        <v>665</v>
      </c>
      <c r="O353" s="23" t="s">
        <v>666</v>
      </c>
      <c r="P353" s="18" t="s">
        <v>56</v>
      </c>
      <c r="Q353" s="72"/>
      <c r="R353" s="72"/>
      <c r="S353" s="25">
        <v>260</v>
      </c>
      <c r="T353" s="26"/>
      <c r="U353" s="26"/>
      <c r="V353" s="25">
        <v>260</v>
      </c>
      <c r="W353" s="26"/>
      <c r="X353" s="25">
        <v>156</v>
      </c>
      <c r="Y353" s="26">
        <f>T353+R353+Q353+U353+W353</f>
        <v>0</v>
      </c>
      <c r="Z353" s="27">
        <v>1300</v>
      </c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>
        <f>SUM(AM353:AS353)</f>
        <v>0</v>
      </c>
      <c r="AM353" s="26"/>
      <c r="AN353" s="26"/>
      <c r="AO353" s="26"/>
      <c r="AP353" s="26"/>
      <c r="AQ353" s="26"/>
      <c r="AR353" s="26"/>
      <c r="AS353" s="26"/>
      <c r="AT353" s="28"/>
      <c r="AU353" s="28"/>
      <c r="AV353" s="26"/>
      <c r="AW353" s="26"/>
      <c r="AX353" s="28"/>
      <c r="AY353" s="72">
        <f>Y353-AV353-AX353-AW353</f>
        <v>0</v>
      </c>
      <c r="AZ353" s="68"/>
      <c r="BA353" s="26">
        <f>AL353+AG353+AA353+AT353</f>
        <v>0</v>
      </c>
      <c r="BB353" s="30">
        <f>BD353+AO353+AG353</f>
        <v>0</v>
      </c>
      <c r="BC353" s="30">
        <f>BD353+AS353</f>
        <v>0</v>
      </c>
      <c r="BD353" s="30">
        <f>IF(BA353&gt;0,Y353-BA353,BA353)</f>
        <v>0</v>
      </c>
      <c r="BE353" s="31">
        <v>7</v>
      </c>
      <c r="BF353" s="30" t="s">
        <v>57</v>
      </c>
      <c r="BG353" s="31">
        <f>BE353*Q353</f>
        <v>0</v>
      </c>
      <c r="BH353" s="31">
        <f>BE353*R353*0.4</f>
        <v>0</v>
      </c>
      <c r="BI353" s="31"/>
      <c r="BJ353" s="31"/>
      <c r="BK353" s="32">
        <f>Y353*BE353</f>
        <v>0</v>
      </c>
      <c r="BL353" s="25">
        <v>156</v>
      </c>
      <c r="BM353" s="25">
        <v>156</v>
      </c>
      <c r="BN353" s="25">
        <v>156</v>
      </c>
      <c r="BO353" s="25">
        <v>156</v>
      </c>
      <c r="BP353" s="25">
        <f>BE353*AV353</f>
        <v>0</v>
      </c>
      <c r="BQ353" s="25">
        <f>BE353*AX353</f>
        <v>0</v>
      </c>
      <c r="BR353" s="26"/>
      <c r="BS353" s="32"/>
    </row>
    <row r="354" spans="1:71" s="6" customFormat="1" ht="41.25" customHeight="1">
      <c r="A354" s="18">
        <v>351</v>
      </c>
      <c r="B354" s="18" t="s">
        <v>94</v>
      </c>
      <c r="C354" s="18" t="s">
        <v>144</v>
      </c>
      <c r="D354" s="18" t="s">
        <v>96</v>
      </c>
      <c r="E354" s="20" t="s">
        <v>630</v>
      </c>
      <c r="F354" s="58" t="s">
        <v>146</v>
      </c>
      <c r="G354" s="58"/>
      <c r="H354" s="22"/>
      <c r="I354" s="22"/>
      <c r="J354" s="22"/>
      <c r="K354" s="22"/>
      <c r="L354" s="20" t="s">
        <v>53</v>
      </c>
      <c r="M354" s="22"/>
      <c r="N354" s="22" t="s">
        <v>667</v>
      </c>
      <c r="O354" s="23"/>
      <c r="P354" s="18" t="s">
        <v>56</v>
      </c>
      <c r="Q354" s="72"/>
      <c r="R354" s="72"/>
      <c r="S354" s="25">
        <v>60</v>
      </c>
      <c r="T354" s="26"/>
      <c r="U354" s="26"/>
      <c r="V354" s="25">
        <v>60</v>
      </c>
      <c r="W354" s="26"/>
      <c r="X354" s="25">
        <v>60</v>
      </c>
      <c r="Y354" s="26">
        <f>T354+R354+Q354+U354+W354</f>
        <v>0</v>
      </c>
      <c r="Z354" s="27">
        <v>420</v>
      </c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>
        <f>SUM(AM354:AS354)</f>
        <v>0</v>
      </c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72">
        <f>Y354-AV354-AX354-AW354</f>
        <v>0</v>
      </c>
      <c r="AZ354" s="68"/>
      <c r="BA354" s="26">
        <f>AL354+AG354+AA354+AT354</f>
        <v>0</v>
      </c>
      <c r="BB354" s="30">
        <f>BD354+AO354+AG354</f>
        <v>0</v>
      </c>
      <c r="BC354" s="30">
        <f>BD354+AS354</f>
        <v>0</v>
      </c>
      <c r="BD354" s="30">
        <f>IF(BA354&gt;0,Y354-BA354,BA354)</f>
        <v>0</v>
      </c>
      <c r="BE354" s="31">
        <v>56</v>
      </c>
      <c r="BF354" s="30" t="s">
        <v>57</v>
      </c>
      <c r="BG354" s="31">
        <f>BE354*Q354</f>
        <v>0</v>
      </c>
      <c r="BH354" s="31">
        <f>BE354*R354*0.4</f>
        <v>0</v>
      </c>
      <c r="BI354" s="142"/>
      <c r="BJ354" s="142"/>
      <c r="BK354" s="32">
        <f>Y354*BE354</f>
        <v>0</v>
      </c>
      <c r="BL354" s="25">
        <v>60</v>
      </c>
      <c r="BM354" s="25">
        <v>60</v>
      </c>
      <c r="BN354" s="25">
        <v>60</v>
      </c>
      <c r="BO354" s="25">
        <v>60</v>
      </c>
      <c r="BP354" s="25">
        <f>BE354*AV354</f>
        <v>0</v>
      </c>
      <c r="BQ354" s="25">
        <f>BE354*AX354</f>
        <v>0</v>
      </c>
      <c r="BR354" s="28"/>
      <c r="BS354" s="32"/>
    </row>
    <row r="355" spans="1:71" s="6" customFormat="1" ht="41.25" customHeight="1">
      <c r="A355" s="18">
        <v>352</v>
      </c>
      <c r="B355" s="18" t="s">
        <v>94</v>
      </c>
      <c r="C355" s="18" t="s">
        <v>177</v>
      </c>
      <c r="D355" s="18" t="s">
        <v>96</v>
      </c>
      <c r="E355" s="22" t="s">
        <v>493</v>
      </c>
      <c r="F355" s="52" t="s">
        <v>123</v>
      </c>
      <c r="G355" s="52" t="s">
        <v>123</v>
      </c>
      <c r="H355" s="22"/>
      <c r="I355" s="22"/>
      <c r="J355" s="22"/>
      <c r="K355" s="22"/>
      <c r="L355" s="22"/>
      <c r="M355" s="22"/>
      <c r="N355" s="22" t="s">
        <v>668</v>
      </c>
      <c r="O355" s="23"/>
      <c r="P355" s="38" t="s">
        <v>56</v>
      </c>
      <c r="Q355" s="72"/>
      <c r="R355" s="72"/>
      <c r="S355" s="40">
        <v>20</v>
      </c>
      <c r="T355" s="26"/>
      <c r="U355" s="26"/>
      <c r="V355" s="25">
        <v>20</v>
      </c>
      <c r="W355" s="26"/>
      <c r="X355" s="25">
        <v>20</v>
      </c>
      <c r="Y355" s="26">
        <f>T355+R355+Q355+U355+W355</f>
        <v>0</v>
      </c>
      <c r="Z355" s="27">
        <v>140</v>
      </c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>
        <f>SUM(AM355:AS355)</f>
        <v>0</v>
      </c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72">
        <f>Y355-AV355-AX355-AW355</f>
        <v>0</v>
      </c>
      <c r="AZ355" s="68"/>
      <c r="BA355" s="26">
        <f>AL355+AG355+AA355+AT355</f>
        <v>0</v>
      </c>
      <c r="BB355" s="30">
        <f>BD355+AO355+AG355</f>
        <v>0</v>
      </c>
      <c r="BC355" s="30">
        <f>BD355+AS355</f>
        <v>0</v>
      </c>
      <c r="BD355" s="30">
        <f>IF(BA355&gt;0,Y355-BA355,BA355)</f>
        <v>0</v>
      </c>
      <c r="BE355" s="31">
        <v>8</v>
      </c>
      <c r="BF355" s="30" t="s">
        <v>57</v>
      </c>
      <c r="BG355" s="31">
        <f>BE355*Q355</f>
        <v>0</v>
      </c>
      <c r="BH355" s="31">
        <f>BE355*R355*0.4</f>
        <v>0</v>
      </c>
      <c r="BI355" s="31"/>
      <c r="BJ355" s="31"/>
      <c r="BK355" s="32">
        <f>Y355*BE355</f>
        <v>0</v>
      </c>
      <c r="BL355" s="25">
        <v>20</v>
      </c>
      <c r="BM355" s="25">
        <v>20</v>
      </c>
      <c r="BN355" s="25">
        <v>20</v>
      </c>
      <c r="BO355" s="25">
        <v>20</v>
      </c>
      <c r="BP355" s="25">
        <f>BE355*AV355</f>
        <v>0</v>
      </c>
      <c r="BQ355" s="25">
        <f>BE355*AX355</f>
        <v>0</v>
      </c>
      <c r="BR355" s="28"/>
      <c r="BS355" s="32"/>
    </row>
    <row r="356" spans="1:71" s="6" customFormat="1" ht="41.25" customHeight="1">
      <c r="A356" s="18">
        <v>353</v>
      </c>
      <c r="B356" s="18" t="s">
        <v>94</v>
      </c>
      <c r="C356" s="18" t="s">
        <v>177</v>
      </c>
      <c r="D356" s="18" t="s">
        <v>96</v>
      </c>
      <c r="E356" s="22" t="s">
        <v>669</v>
      </c>
      <c r="F356" s="52" t="s">
        <v>123</v>
      </c>
      <c r="G356" s="52" t="s">
        <v>123</v>
      </c>
      <c r="H356" s="22"/>
      <c r="I356" s="22"/>
      <c r="J356" s="22"/>
      <c r="K356" s="22"/>
      <c r="L356" s="22"/>
      <c r="M356" s="22"/>
      <c r="N356" s="22" t="s">
        <v>670</v>
      </c>
      <c r="O356" s="23"/>
      <c r="P356" s="38" t="s">
        <v>56</v>
      </c>
      <c r="Q356" s="29">
        <v>20</v>
      </c>
      <c r="R356" s="72"/>
      <c r="S356" s="40">
        <v>20</v>
      </c>
      <c r="T356" s="63">
        <v>8</v>
      </c>
      <c r="U356" s="26"/>
      <c r="V356" s="25">
        <v>20</v>
      </c>
      <c r="W356" s="26"/>
      <c r="X356" s="25">
        <v>20</v>
      </c>
      <c r="Y356" s="53">
        <f>T356+R356+Q356+U356+W356</f>
        <v>28</v>
      </c>
      <c r="Z356" s="27">
        <v>140</v>
      </c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>
        <f>SUM(AM356:AS356)</f>
        <v>0</v>
      </c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9">
        <f>Y356-AV356-AX356-AW356</f>
        <v>28</v>
      </c>
      <c r="AZ356" s="29">
        <f>'Layout for shadhous 3'!I59</f>
        <v>28</v>
      </c>
      <c r="BA356" s="26">
        <f>AL356+AG356+AA356+AT356</f>
        <v>0</v>
      </c>
      <c r="BB356" s="30">
        <f>BD356+AO356+AG356</f>
        <v>0</v>
      </c>
      <c r="BC356" s="30">
        <f>BD356+AS356</f>
        <v>0</v>
      </c>
      <c r="BD356" s="30">
        <f>IF(BA356&gt;0,Y356-BA356,BA356)</f>
        <v>0</v>
      </c>
      <c r="BE356" s="31">
        <v>8</v>
      </c>
      <c r="BF356" s="30" t="s">
        <v>57</v>
      </c>
      <c r="BG356" s="31">
        <f>BE356*Q356</f>
        <v>160</v>
      </c>
      <c r="BH356" s="31">
        <f>BE356*R356*0.4</f>
        <v>0</v>
      </c>
      <c r="BI356" s="142"/>
      <c r="BJ356" s="142"/>
      <c r="BK356" s="32">
        <f>Y356*BE356</f>
        <v>224</v>
      </c>
      <c r="BL356" s="25">
        <v>20</v>
      </c>
      <c r="BM356" s="25">
        <v>20</v>
      </c>
      <c r="BN356" s="25">
        <v>20</v>
      </c>
      <c r="BO356" s="25">
        <v>20</v>
      </c>
      <c r="BP356" s="25">
        <f>BE356*AV356</f>
        <v>0</v>
      </c>
      <c r="BQ356" s="25">
        <f>BE356*AX356</f>
        <v>0</v>
      </c>
      <c r="BR356" s="28"/>
      <c r="BS356" s="32"/>
    </row>
    <row r="357" spans="1:71" s="6" customFormat="1" ht="41.25" customHeight="1">
      <c r="A357" s="18">
        <v>354</v>
      </c>
      <c r="B357" s="18" t="s">
        <v>94</v>
      </c>
      <c r="C357" s="18" t="s">
        <v>177</v>
      </c>
      <c r="D357" s="18" t="s">
        <v>96</v>
      </c>
      <c r="E357" s="22" t="s">
        <v>669</v>
      </c>
      <c r="F357" s="52" t="s">
        <v>123</v>
      </c>
      <c r="G357" s="52" t="s">
        <v>123</v>
      </c>
      <c r="H357" s="22"/>
      <c r="I357" s="22"/>
      <c r="J357" s="22"/>
      <c r="K357" s="22"/>
      <c r="L357" s="22"/>
      <c r="M357" s="22"/>
      <c r="N357" s="22" t="s">
        <v>671</v>
      </c>
      <c r="O357" s="23"/>
      <c r="P357" s="38" t="s">
        <v>56</v>
      </c>
      <c r="Q357" s="29">
        <v>20</v>
      </c>
      <c r="R357" s="72"/>
      <c r="S357" s="40">
        <v>20</v>
      </c>
      <c r="T357" s="26"/>
      <c r="U357" s="26"/>
      <c r="V357" s="25">
        <v>20</v>
      </c>
      <c r="W357" s="26"/>
      <c r="X357" s="25">
        <v>20</v>
      </c>
      <c r="Y357" s="53">
        <f>T357+R357+Q357+U357+W357</f>
        <v>20</v>
      </c>
      <c r="Z357" s="27">
        <v>140</v>
      </c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>
        <f>SUM(AM357:AS357)</f>
        <v>0</v>
      </c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9">
        <f>Y357-AV357-AX357-AW357</f>
        <v>20</v>
      </c>
      <c r="AZ357" s="29">
        <f>'Layout for shadhous 3'!I58</f>
        <v>12</v>
      </c>
      <c r="BA357" s="26">
        <f>AL357+AG357+AA357+AT357</f>
        <v>0</v>
      </c>
      <c r="BB357" s="30">
        <f>BD357+AO357+AG357</f>
        <v>0</v>
      </c>
      <c r="BC357" s="30">
        <f>BD357+AS357</f>
        <v>0</v>
      </c>
      <c r="BD357" s="30">
        <f>IF(BA357&gt;0,Y357-BA357,BA357)</f>
        <v>0</v>
      </c>
      <c r="BE357" s="31">
        <v>8</v>
      </c>
      <c r="BF357" s="30" t="s">
        <v>57</v>
      </c>
      <c r="BG357" s="31">
        <f>BE357*Q357</f>
        <v>160</v>
      </c>
      <c r="BH357" s="31">
        <f>BE357*R357*0.4</f>
        <v>0</v>
      </c>
      <c r="BI357" s="142"/>
      <c r="BJ357" s="142"/>
      <c r="BK357" s="32">
        <f>Y357*BE357</f>
        <v>160</v>
      </c>
      <c r="BL357" s="25">
        <v>20</v>
      </c>
      <c r="BM357" s="25">
        <v>20</v>
      </c>
      <c r="BN357" s="25">
        <v>20</v>
      </c>
      <c r="BO357" s="25">
        <v>20</v>
      </c>
      <c r="BP357" s="25">
        <f>BE357*AV357</f>
        <v>0</v>
      </c>
      <c r="BQ357" s="25">
        <f>BE357*AX357</f>
        <v>0</v>
      </c>
      <c r="BR357" s="26"/>
      <c r="BS357" s="32"/>
    </row>
    <row r="358" spans="1:71" s="6" customFormat="1" ht="41.25" customHeight="1">
      <c r="A358" s="18">
        <v>355</v>
      </c>
      <c r="B358" s="18" t="s">
        <v>58</v>
      </c>
      <c r="C358" s="65" t="s">
        <v>369</v>
      </c>
      <c r="D358" s="21" t="s">
        <v>50</v>
      </c>
      <c r="E358" s="20" t="s">
        <v>679</v>
      </c>
      <c r="F358" s="52" t="s">
        <v>123</v>
      </c>
      <c r="G358" s="34" t="s">
        <v>128</v>
      </c>
      <c r="H358" s="22"/>
      <c r="I358" s="22"/>
      <c r="J358" s="22"/>
      <c r="K358" s="22"/>
      <c r="L358" s="20" t="s">
        <v>53</v>
      </c>
      <c r="M358" s="22"/>
      <c r="N358" s="22" t="s">
        <v>680</v>
      </c>
      <c r="O358" s="23" t="s">
        <v>681</v>
      </c>
      <c r="P358" s="18" t="s">
        <v>56</v>
      </c>
      <c r="Q358" s="72"/>
      <c r="R358" s="72"/>
      <c r="S358" s="25">
        <v>640</v>
      </c>
      <c r="T358" s="26"/>
      <c r="U358" s="26"/>
      <c r="V358" s="25">
        <v>640</v>
      </c>
      <c r="W358" s="26"/>
      <c r="X358" s="25">
        <v>384</v>
      </c>
      <c r="Y358" s="26">
        <f>T358+R358+Q358+U358+W358</f>
        <v>0</v>
      </c>
      <c r="Z358" s="27">
        <v>3200</v>
      </c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>
        <f>SUM(AM358:AS358)</f>
        <v>0</v>
      </c>
      <c r="AM358" s="26"/>
      <c r="AN358" s="26"/>
      <c r="AO358" s="26"/>
      <c r="AP358" s="26"/>
      <c r="AQ358" s="26"/>
      <c r="AR358" s="26"/>
      <c r="AS358" s="26"/>
      <c r="AT358" s="28"/>
      <c r="AU358" s="28"/>
      <c r="AV358" s="26"/>
      <c r="AW358" s="26"/>
      <c r="AX358" s="28"/>
      <c r="AY358" s="72">
        <f>Y358-AV358-AX358-AW358</f>
        <v>0</v>
      </c>
      <c r="AZ358" s="68"/>
      <c r="BA358" s="26">
        <f>AL358+AG358+AA358+AT358</f>
        <v>0</v>
      </c>
      <c r="BB358" s="30">
        <f>BD358+AO358+AG358</f>
        <v>0</v>
      </c>
      <c r="BC358" s="30">
        <f>BD358+AS358</f>
        <v>0</v>
      </c>
      <c r="BD358" s="30">
        <f>IF(BA358&gt;0,Y358-BA358,BA358)</f>
        <v>0</v>
      </c>
      <c r="BE358" s="31">
        <v>3.75</v>
      </c>
      <c r="BF358" s="30" t="s">
        <v>57</v>
      </c>
      <c r="BG358" s="31">
        <f>BE358*Q358</f>
        <v>0</v>
      </c>
      <c r="BH358" s="31">
        <f>BE358*R358*0.4</f>
        <v>0</v>
      </c>
      <c r="BI358" s="142"/>
      <c r="BJ358" s="142"/>
      <c r="BK358" s="32">
        <f>Y358*BE358</f>
        <v>0</v>
      </c>
      <c r="BL358" s="25">
        <v>384</v>
      </c>
      <c r="BM358" s="25">
        <v>384</v>
      </c>
      <c r="BN358" s="25">
        <v>384</v>
      </c>
      <c r="BO358" s="25">
        <v>384</v>
      </c>
      <c r="BP358" s="25">
        <f>BE358*AV358</f>
        <v>0</v>
      </c>
      <c r="BQ358" s="25">
        <f>BE358*AX358</f>
        <v>0</v>
      </c>
      <c r="BR358" s="28"/>
      <c r="BS358" s="32"/>
    </row>
    <row r="359" spans="1:71" s="6" customFormat="1" ht="41.25" customHeight="1">
      <c r="A359" s="18">
        <v>356</v>
      </c>
      <c r="B359" s="18" t="s">
        <v>87</v>
      </c>
      <c r="C359" s="65" t="s">
        <v>125</v>
      </c>
      <c r="D359" s="47" t="s">
        <v>89</v>
      </c>
      <c r="E359" s="20" t="s">
        <v>516</v>
      </c>
      <c r="F359" s="21" t="s">
        <v>344</v>
      </c>
      <c r="G359" s="34" t="s">
        <v>128</v>
      </c>
      <c r="H359" s="22"/>
      <c r="I359" s="22" t="s">
        <v>345</v>
      </c>
      <c r="J359" s="22"/>
      <c r="K359" s="22"/>
      <c r="L359" s="20" t="s">
        <v>53</v>
      </c>
      <c r="M359" s="22"/>
      <c r="N359" s="22" t="s">
        <v>682</v>
      </c>
      <c r="O359" s="23" t="s">
        <v>681</v>
      </c>
      <c r="P359" s="18" t="s">
        <v>56</v>
      </c>
      <c r="Q359" s="72"/>
      <c r="R359" s="72"/>
      <c r="S359" s="25">
        <v>200</v>
      </c>
      <c r="T359" s="26"/>
      <c r="U359" s="26"/>
      <c r="V359" s="25"/>
      <c r="W359" s="26"/>
      <c r="X359" s="25"/>
      <c r="Y359" s="26">
        <f>T359+R359+Q359+U359+W359</f>
        <v>0</v>
      </c>
      <c r="Z359" s="27">
        <v>200</v>
      </c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>
        <f>SUM(AM359:AS359)</f>
        <v>0</v>
      </c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72">
        <f>Y359-AV359-AX359-AW359</f>
        <v>0</v>
      </c>
      <c r="AZ359" s="68"/>
      <c r="BA359" s="26">
        <f>AL359+AG359+AA359+AT359</f>
        <v>0</v>
      </c>
      <c r="BB359" s="30">
        <f>BD359+AO359+AG359</f>
        <v>0</v>
      </c>
      <c r="BC359" s="30">
        <f>BD359+AS359</f>
        <v>0</v>
      </c>
      <c r="BD359" s="30">
        <f>IF(BA359&gt;0,Y359-BA359,BA359)</f>
        <v>0</v>
      </c>
      <c r="BE359" s="31">
        <v>3.75</v>
      </c>
      <c r="BF359" s="30" t="s">
        <v>57</v>
      </c>
      <c r="BG359" s="31">
        <f>BE359*Q359</f>
        <v>0</v>
      </c>
      <c r="BH359" s="31">
        <f>BE359*R359*0.4</f>
        <v>0</v>
      </c>
      <c r="BI359" s="31"/>
      <c r="BJ359" s="31"/>
      <c r="BK359" s="32">
        <f>Y359*BE359</f>
        <v>0</v>
      </c>
      <c r="BL359" s="25"/>
      <c r="BM359" s="25"/>
      <c r="BN359" s="25"/>
      <c r="BO359" s="25"/>
      <c r="BP359" s="25">
        <f>BE359*AV359</f>
        <v>0</v>
      </c>
      <c r="BQ359" s="25">
        <f>BE359*AX359</f>
        <v>0</v>
      </c>
      <c r="BR359" s="28"/>
      <c r="BS359" s="32"/>
    </row>
    <row r="360" spans="1:71" s="6" customFormat="1" ht="41.25" customHeight="1">
      <c r="A360" s="18">
        <v>357</v>
      </c>
      <c r="B360" s="18" t="s">
        <v>94</v>
      </c>
      <c r="C360" s="18" t="s">
        <v>209</v>
      </c>
      <c r="D360" s="18" t="s">
        <v>96</v>
      </c>
      <c r="E360" s="20" t="s">
        <v>437</v>
      </c>
      <c r="F360" s="18" t="s">
        <v>209</v>
      </c>
      <c r="G360" s="18"/>
      <c r="H360" s="22"/>
      <c r="I360" s="22"/>
      <c r="J360" s="22"/>
      <c r="K360" s="22"/>
      <c r="L360" s="20" t="s">
        <v>53</v>
      </c>
      <c r="M360" s="22"/>
      <c r="N360" s="22" t="s">
        <v>684</v>
      </c>
      <c r="O360" s="23"/>
      <c r="P360" s="18" t="s">
        <v>56</v>
      </c>
      <c r="Q360" s="72"/>
      <c r="R360" s="72"/>
      <c r="S360" s="25"/>
      <c r="T360" s="26"/>
      <c r="U360" s="26"/>
      <c r="V360" s="25"/>
      <c r="W360" s="26"/>
      <c r="X360" s="25"/>
      <c r="Y360" s="26">
        <f>T360+R360+Q360+U360+W360</f>
        <v>0</v>
      </c>
      <c r="Z360" s="27">
        <v>200</v>
      </c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>
        <f>SUM(AM360:AS360)</f>
        <v>0</v>
      </c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72">
        <f>Y360-AV360-AX360-AW360</f>
        <v>0</v>
      </c>
      <c r="AZ360" s="68"/>
      <c r="BA360" s="26">
        <f>AL360+AG360+AA360+AT360</f>
        <v>0</v>
      </c>
      <c r="BB360" s="30">
        <f>BD360+AO360+AG360</f>
        <v>0</v>
      </c>
      <c r="BC360" s="30">
        <f>BD360+AS360</f>
        <v>0</v>
      </c>
      <c r="BD360" s="30">
        <f>IF(BA360&gt;0,Y360-BA360,BA360)</f>
        <v>0</v>
      </c>
      <c r="BE360" s="31"/>
      <c r="BF360" s="30" t="s">
        <v>57</v>
      </c>
      <c r="BG360" s="31">
        <f>BE360*Q360</f>
        <v>0</v>
      </c>
      <c r="BH360" s="31">
        <f>BE360*R360*0.4</f>
        <v>0</v>
      </c>
      <c r="BI360" s="142"/>
      <c r="BJ360" s="142"/>
      <c r="BK360" s="32">
        <f>Y360*BE360</f>
        <v>0</v>
      </c>
      <c r="BL360" s="25"/>
      <c r="BM360" s="25"/>
      <c r="BN360" s="25">
        <v>200</v>
      </c>
      <c r="BO360" s="25"/>
      <c r="BP360" s="25">
        <f>BE360*AV360</f>
        <v>0</v>
      </c>
      <c r="BQ360" s="25">
        <f>BE360*AX360</f>
        <v>0</v>
      </c>
      <c r="BR360" s="28"/>
      <c r="BS360" s="32"/>
    </row>
    <row r="361" spans="1:71" s="6" customFormat="1" ht="41.25" customHeight="1">
      <c r="A361" s="18">
        <v>358</v>
      </c>
      <c r="B361" s="51" t="s">
        <v>94</v>
      </c>
      <c r="C361" s="18" t="s">
        <v>158</v>
      </c>
      <c r="D361" s="18" t="s">
        <v>96</v>
      </c>
      <c r="E361" s="20" t="s">
        <v>136</v>
      </c>
      <c r="F361" s="52" t="s">
        <v>123</v>
      </c>
      <c r="G361" s="52" t="s">
        <v>123</v>
      </c>
      <c r="H361" s="22"/>
      <c r="I361" s="22"/>
      <c r="J361" s="22"/>
      <c r="K361" s="22"/>
      <c r="L361" s="20" t="s">
        <v>53</v>
      </c>
      <c r="M361" s="22"/>
      <c r="N361" s="22" t="s">
        <v>685</v>
      </c>
      <c r="O361" s="23"/>
      <c r="P361" s="18" t="s">
        <v>56</v>
      </c>
      <c r="Q361" s="72"/>
      <c r="R361" s="72"/>
      <c r="S361" s="25"/>
      <c r="T361" s="26"/>
      <c r="U361" s="26"/>
      <c r="V361" s="25"/>
      <c r="W361" s="29">
        <v>1562</v>
      </c>
      <c r="X361" s="25"/>
      <c r="Y361" s="53">
        <f>T361+R361+Q361+U361+W361</f>
        <v>1562</v>
      </c>
      <c r="Z361" s="27">
        <v>200</v>
      </c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>
        <f>SUM(AM361:AS361)</f>
        <v>0</v>
      </c>
      <c r="AM361" s="26"/>
      <c r="AN361" s="26"/>
      <c r="AO361" s="26"/>
      <c r="AP361" s="26"/>
      <c r="AQ361" s="26"/>
      <c r="AR361" s="26"/>
      <c r="AS361" s="26"/>
      <c r="AT361" s="70">
        <f>282+30</f>
        <v>312</v>
      </c>
      <c r="AU361" s="70">
        <v>282</v>
      </c>
      <c r="AV361" s="26"/>
      <c r="AW361" s="26"/>
      <c r="AX361" s="70">
        <f>30+122</f>
        <v>152</v>
      </c>
      <c r="AY361" s="29">
        <f>Y361-AV361-AX361-AW361</f>
        <v>1410</v>
      </c>
      <c r="AZ361" s="29">
        <f ca="1">'Layout for shadhous 1&amp;2'!F63</f>
        <v>1410</v>
      </c>
      <c r="BA361" s="26">
        <f>AL361+AG361+AA361+AT361</f>
        <v>312</v>
      </c>
      <c r="BB361" s="30">
        <f>BD361+AO361+AG361</f>
        <v>1250</v>
      </c>
      <c r="BC361" s="30">
        <f>BD361+AS361</f>
        <v>1250</v>
      </c>
      <c r="BD361" s="30">
        <f>IF(BA361&gt;0,Y361-BA361,BA361)</f>
        <v>1250</v>
      </c>
      <c r="BE361" s="31">
        <v>6</v>
      </c>
      <c r="BF361" s="30" t="s">
        <v>57</v>
      </c>
      <c r="BG361" s="31">
        <f>BE361*Q361</f>
        <v>0</v>
      </c>
      <c r="BH361" s="31">
        <f>BE361*R361*0.4</f>
        <v>0</v>
      </c>
      <c r="BI361" s="31"/>
      <c r="BJ361" s="31"/>
      <c r="BK361" s="32">
        <f>Y361*BE361</f>
        <v>9372</v>
      </c>
      <c r="BL361" s="25"/>
      <c r="BM361" s="25">
        <v>200</v>
      </c>
      <c r="BN361" s="25"/>
      <c r="BO361" s="25"/>
      <c r="BP361" s="25">
        <f>BE361*AV361</f>
        <v>0</v>
      </c>
      <c r="BQ361" s="25">
        <f>BE361*AX361</f>
        <v>912</v>
      </c>
      <c r="BR361" s="28"/>
      <c r="BS361" s="32"/>
    </row>
    <row r="362" spans="1:71" s="6" customFormat="1" ht="41.25" customHeight="1">
      <c r="A362" s="18">
        <v>359</v>
      </c>
      <c r="B362" s="18" t="s">
        <v>58</v>
      </c>
      <c r="C362" s="33" t="s">
        <v>59</v>
      </c>
      <c r="D362" s="34" t="s">
        <v>60</v>
      </c>
      <c r="E362" s="20" t="s">
        <v>686</v>
      </c>
      <c r="F362" s="34" t="s">
        <v>62</v>
      </c>
      <c r="G362" s="22"/>
      <c r="H362" s="22"/>
      <c r="I362" s="22"/>
      <c r="J362" s="22"/>
      <c r="K362" s="22"/>
      <c r="L362" s="20" t="s">
        <v>53</v>
      </c>
      <c r="M362" s="22"/>
      <c r="N362" s="22" t="s">
        <v>687</v>
      </c>
      <c r="O362" s="23"/>
      <c r="P362" s="18" t="s">
        <v>65</v>
      </c>
      <c r="Q362" s="72"/>
      <c r="R362" s="72"/>
      <c r="S362" s="35">
        <v>15</v>
      </c>
      <c r="T362" s="26"/>
      <c r="U362" s="26"/>
      <c r="V362" s="35">
        <v>15</v>
      </c>
      <c r="W362" s="154"/>
      <c r="X362" s="35">
        <v>15</v>
      </c>
      <c r="Y362" s="26">
        <f>T362+R362+Q362+U362+W362</f>
        <v>0</v>
      </c>
      <c r="Z362" s="27">
        <v>105</v>
      </c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>
        <f>SUM(AM362:AS362)</f>
        <v>0</v>
      </c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72">
        <f>Y362-AV362-AX362-AW362</f>
        <v>0</v>
      </c>
      <c r="AZ362" s="68"/>
      <c r="BA362" s="26">
        <f>AL362+AG362+AA362+AT362</f>
        <v>0</v>
      </c>
      <c r="BB362" s="30">
        <f>BD362+AO362+AG362</f>
        <v>0</v>
      </c>
      <c r="BC362" s="30">
        <f>BD362+AS362</f>
        <v>0</v>
      </c>
      <c r="BD362" s="30">
        <f>IF(BA362&gt;0,Y362-BA362,BA362)</f>
        <v>0</v>
      </c>
      <c r="BE362" s="31">
        <v>37</v>
      </c>
      <c r="BF362" s="30" t="s">
        <v>57</v>
      </c>
      <c r="BG362" s="31">
        <f>BE362*Q362</f>
        <v>0</v>
      </c>
      <c r="BH362" s="31">
        <f>BE362*R362*0.4</f>
        <v>0</v>
      </c>
      <c r="BI362" s="31"/>
      <c r="BJ362" s="31"/>
      <c r="BK362" s="32">
        <f>Y362*BE362</f>
        <v>0</v>
      </c>
      <c r="BL362" s="35">
        <v>15</v>
      </c>
      <c r="BM362" s="35">
        <v>15</v>
      </c>
      <c r="BN362" s="35">
        <v>15</v>
      </c>
      <c r="BO362" s="35">
        <v>15</v>
      </c>
      <c r="BP362" s="25">
        <f>BE362*AV362</f>
        <v>0</v>
      </c>
      <c r="BQ362" s="25">
        <f>BE362*AX362</f>
        <v>0</v>
      </c>
      <c r="BR362" s="28"/>
      <c r="BS362" s="32"/>
    </row>
    <row r="363" spans="1:71" s="6" customFormat="1" ht="41.25" customHeight="1">
      <c r="A363" s="18">
        <v>360</v>
      </c>
      <c r="B363" s="18" t="s">
        <v>94</v>
      </c>
      <c r="C363" s="18" t="s">
        <v>177</v>
      </c>
      <c r="D363" s="18" t="s">
        <v>96</v>
      </c>
      <c r="E363" s="22" t="s">
        <v>689</v>
      </c>
      <c r="F363" s="52" t="s">
        <v>123</v>
      </c>
      <c r="G363" s="52" t="s">
        <v>123</v>
      </c>
      <c r="H363" s="22"/>
      <c r="I363" s="22"/>
      <c r="J363" s="22"/>
      <c r="K363" s="22"/>
      <c r="L363" s="22"/>
      <c r="M363" s="22"/>
      <c r="N363" s="22" t="s">
        <v>690</v>
      </c>
      <c r="O363" s="23"/>
      <c r="P363" s="38" t="s">
        <v>56</v>
      </c>
      <c r="Q363" s="72"/>
      <c r="R363" s="72"/>
      <c r="S363" s="40">
        <v>20</v>
      </c>
      <c r="T363" s="26"/>
      <c r="U363" s="26"/>
      <c r="V363" s="25">
        <v>20</v>
      </c>
      <c r="W363" s="26"/>
      <c r="X363" s="25">
        <v>20</v>
      </c>
      <c r="Y363" s="26">
        <f>T363+R363+Q363+U363+W363</f>
        <v>0</v>
      </c>
      <c r="Z363" s="27">
        <v>140</v>
      </c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>
        <f>SUM(AM363:AS363)</f>
        <v>0</v>
      </c>
      <c r="AM363" s="26"/>
      <c r="AN363" s="26"/>
      <c r="AO363" s="26"/>
      <c r="AP363" s="26"/>
      <c r="AQ363" s="26"/>
      <c r="AR363" s="26"/>
      <c r="AS363" s="26"/>
      <c r="AT363" s="28"/>
      <c r="AU363" s="28"/>
      <c r="AV363" s="26"/>
      <c r="AW363" s="26"/>
      <c r="AX363" s="28"/>
      <c r="AY363" s="72">
        <f>Y363-AV363-AX363-AW363</f>
        <v>0</v>
      </c>
      <c r="AZ363" s="68"/>
      <c r="BA363" s="26">
        <f>AL363+AG363+AA363+AT363</f>
        <v>0</v>
      </c>
      <c r="BB363" s="30">
        <f>BD363+AO363+AG363</f>
        <v>0</v>
      </c>
      <c r="BC363" s="30">
        <f>BD363+AS363</f>
        <v>0</v>
      </c>
      <c r="BD363" s="30">
        <f>IF(BA363&gt;0,Y363-BA363,BA363)</f>
        <v>0</v>
      </c>
      <c r="BE363" s="31">
        <v>24</v>
      </c>
      <c r="BF363" s="30" t="s">
        <v>57</v>
      </c>
      <c r="BG363" s="31">
        <f>BE363*Q363</f>
        <v>0</v>
      </c>
      <c r="BH363" s="31">
        <f>BE363*R363*0.4</f>
        <v>0</v>
      </c>
      <c r="BI363" s="31"/>
      <c r="BJ363" s="31"/>
      <c r="BK363" s="32">
        <f>Y363*BE363</f>
        <v>0</v>
      </c>
      <c r="BL363" s="25">
        <v>20</v>
      </c>
      <c r="BM363" s="25">
        <v>20</v>
      </c>
      <c r="BN363" s="25">
        <v>20</v>
      </c>
      <c r="BO363" s="25">
        <v>20</v>
      </c>
      <c r="BP363" s="25">
        <f>BE363*AV363</f>
        <v>0</v>
      </c>
      <c r="BQ363" s="25">
        <f>BE363*AX363</f>
        <v>0</v>
      </c>
      <c r="BR363" s="28"/>
      <c r="BS363" s="32"/>
    </row>
    <row r="364" spans="1:71" s="6" customFormat="1" ht="41.25" customHeight="1">
      <c r="A364" s="18">
        <v>361</v>
      </c>
      <c r="B364" s="18" t="s">
        <v>94</v>
      </c>
      <c r="C364" s="18" t="s">
        <v>177</v>
      </c>
      <c r="D364" s="18" t="s">
        <v>96</v>
      </c>
      <c r="E364" s="22" t="s">
        <v>689</v>
      </c>
      <c r="F364" s="52" t="s">
        <v>123</v>
      </c>
      <c r="G364" s="52" t="s">
        <v>123</v>
      </c>
      <c r="H364" s="22"/>
      <c r="I364" s="22"/>
      <c r="J364" s="22"/>
      <c r="K364" s="22"/>
      <c r="L364" s="22"/>
      <c r="M364" s="22"/>
      <c r="N364" s="22" t="s">
        <v>691</v>
      </c>
      <c r="O364" s="23"/>
      <c r="P364" s="38" t="s">
        <v>56</v>
      </c>
      <c r="Q364" s="29">
        <v>15</v>
      </c>
      <c r="R364" s="72"/>
      <c r="S364" s="40">
        <v>20</v>
      </c>
      <c r="T364" s="26"/>
      <c r="U364" s="26"/>
      <c r="V364" s="25">
        <v>20</v>
      </c>
      <c r="W364" s="26"/>
      <c r="X364" s="25">
        <v>20</v>
      </c>
      <c r="Y364" s="53">
        <f>T364+R364+Q364+U364+W364</f>
        <v>15</v>
      </c>
      <c r="Z364" s="27">
        <v>140</v>
      </c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>
        <f>SUM(AM364:AS364)</f>
        <v>0</v>
      </c>
      <c r="AM364" s="26"/>
      <c r="AN364" s="26"/>
      <c r="AO364" s="26"/>
      <c r="AP364" s="26"/>
      <c r="AQ364" s="26"/>
      <c r="AR364" s="26"/>
      <c r="AS364" s="26"/>
      <c r="AT364" s="28"/>
      <c r="AU364" s="28"/>
      <c r="AV364" s="26"/>
      <c r="AW364" s="26"/>
      <c r="AX364" s="28"/>
      <c r="AY364" s="29">
        <f>Y364-AV364-AX364-AW364</f>
        <v>15</v>
      </c>
      <c r="AZ364" s="29">
        <f>'Layout for shadhous 3'!I62</f>
        <v>12</v>
      </c>
      <c r="BA364" s="26">
        <f>AL364+AG364+AA364+AT364</f>
        <v>0</v>
      </c>
      <c r="BB364" s="30">
        <f>BD364+AO364+AG364</f>
        <v>0</v>
      </c>
      <c r="BC364" s="30">
        <f>BD364+AS364</f>
        <v>0</v>
      </c>
      <c r="BD364" s="30">
        <f>IF(BA364&gt;0,Y364-BA364,BA364)</f>
        <v>0</v>
      </c>
      <c r="BE364" s="31">
        <v>24</v>
      </c>
      <c r="BF364" s="30" t="s">
        <v>57</v>
      </c>
      <c r="BG364" s="31">
        <f>BE364*Q364</f>
        <v>360</v>
      </c>
      <c r="BH364" s="31">
        <f>BE364*R364*0.4</f>
        <v>0</v>
      </c>
      <c r="BI364" s="31"/>
      <c r="BJ364" s="31"/>
      <c r="BK364" s="32">
        <f>Y364*BE364</f>
        <v>360</v>
      </c>
      <c r="BL364" s="25">
        <v>20</v>
      </c>
      <c r="BM364" s="25">
        <v>20</v>
      </c>
      <c r="BN364" s="25">
        <v>20</v>
      </c>
      <c r="BO364" s="25">
        <v>20</v>
      </c>
      <c r="BP364" s="25">
        <f>BE364*AV364</f>
        <v>0</v>
      </c>
      <c r="BQ364" s="25">
        <f>BE364*AX364</f>
        <v>0</v>
      </c>
      <c r="BR364" s="28"/>
      <c r="BS364" s="32"/>
    </row>
    <row r="365" spans="1:71" s="6" customFormat="1" ht="41.25" customHeight="1">
      <c r="A365" s="18">
        <v>362</v>
      </c>
      <c r="B365" s="18" t="s">
        <v>94</v>
      </c>
      <c r="C365" s="18" t="s">
        <v>177</v>
      </c>
      <c r="D365" s="18" t="s">
        <v>96</v>
      </c>
      <c r="E365" s="22" t="s">
        <v>693</v>
      </c>
      <c r="F365" s="52" t="s">
        <v>123</v>
      </c>
      <c r="G365" s="52" t="s">
        <v>123</v>
      </c>
      <c r="H365" s="22"/>
      <c r="I365" s="22"/>
      <c r="J365" s="22"/>
      <c r="K365" s="22"/>
      <c r="L365" s="22"/>
      <c r="M365" s="22"/>
      <c r="N365" s="22" t="s">
        <v>694</v>
      </c>
      <c r="O365" s="23"/>
      <c r="P365" s="38" t="s">
        <v>56</v>
      </c>
      <c r="Q365" s="29">
        <v>12</v>
      </c>
      <c r="R365" s="72"/>
      <c r="S365" s="40">
        <v>20</v>
      </c>
      <c r="T365" s="26"/>
      <c r="U365" s="26"/>
      <c r="V365" s="25">
        <v>20</v>
      </c>
      <c r="W365" s="26"/>
      <c r="X365" s="25">
        <v>20</v>
      </c>
      <c r="Y365" s="53">
        <f>T365+R365+Q365+U365+W365</f>
        <v>12</v>
      </c>
      <c r="Z365" s="27">
        <v>140</v>
      </c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>
        <f>SUM(AM365:AS365)</f>
        <v>0</v>
      </c>
      <c r="AM365" s="26"/>
      <c r="AN365" s="26"/>
      <c r="AO365" s="26"/>
      <c r="AP365" s="26"/>
      <c r="AQ365" s="26"/>
      <c r="AR365" s="26"/>
      <c r="AS365" s="26"/>
      <c r="AT365" s="28"/>
      <c r="AU365" s="28"/>
      <c r="AV365" s="26"/>
      <c r="AW365" s="26"/>
      <c r="AX365" s="28"/>
      <c r="AY365" s="29">
        <f>Y365-AV365-AX365-AW365</f>
        <v>12</v>
      </c>
      <c r="AZ365" s="29">
        <f>'Layout for shadhous 3'!I61</f>
        <v>12</v>
      </c>
      <c r="BA365" s="26">
        <f>AL365+AG365+AA365+AT365</f>
        <v>0</v>
      </c>
      <c r="BB365" s="30">
        <f>BD365+AO365+AG365</f>
        <v>0</v>
      </c>
      <c r="BC365" s="30">
        <f>BD365+AS365</f>
        <v>0</v>
      </c>
      <c r="BD365" s="30">
        <f>IF(BA365&gt;0,Y365-BA365,BA365)</f>
        <v>0</v>
      </c>
      <c r="BE365" s="31">
        <v>24</v>
      </c>
      <c r="BF365" s="30" t="s">
        <v>57</v>
      </c>
      <c r="BG365" s="31">
        <f>BE365*Q365</f>
        <v>288</v>
      </c>
      <c r="BH365" s="31">
        <f>BE365*R365*0.4</f>
        <v>0</v>
      </c>
      <c r="BI365" s="142"/>
      <c r="BJ365" s="142"/>
      <c r="BK365" s="32">
        <f>Y365*BE365</f>
        <v>288</v>
      </c>
      <c r="BL365" s="25">
        <v>20</v>
      </c>
      <c r="BM365" s="25">
        <v>20</v>
      </c>
      <c r="BN365" s="25">
        <v>20</v>
      </c>
      <c r="BO365" s="25">
        <v>20</v>
      </c>
      <c r="BP365" s="25">
        <f>BE365*AV365</f>
        <v>0</v>
      </c>
      <c r="BQ365" s="25">
        <f>BE365*AX365</f>
        <v>0</v>
      </c>
      <c r="BR365" s="28"/>
      <c r="BS365" s="32"/>
    </row>
    <row r="366" spans="1:71" s="6" customFormat="1" ht="41.25" customHeight="1">
      <c r="A366" s="18">
        <v>363</v>
      </c>
      <c r="B366" s="18" t="s">
        <v>94</v>
      </c>
      <c r="C366" s="18" t="s">
        <v>177</v>
      </c>
      <c r="D366" s="18" t="s">
        <v>96</v>
      </c>
      <c r="E366" s="22" t="s">
        <v>693</v>
      </c>
      <c r="F366" s="52" t="s">
        <v>123</v>
      </c>
      <c r="G366" s="52" t="s">
        <v>123</v>
      </c>
      <c r="H366" s="22"/>
      <c r="I366" s="22"/>
      <c r="J366" s="22"/>
      <c r="K366" s="22"/>
      <c r="L366" s="22"/>
      <c r="M366" s="22"/>
      <c r="N366" s="22" t="s">
        <v>695</v>
      </c>
      <c r="O366" s="23"/>
      <c r="P366" s="38" t="s">
        <v>56</v>
      </c>
      <c r="Q366" s="72"/>
      <c r="R366" s="72"/>
      <c r="S366" s="40">
        <v>20</v>
      </c>
      <c r="T366" s="26"/>
      <c r="U366" s="26"/>
      <c r="V366" s="25">
        <v>20</v>
      </c>
      <c r="W366" s="26"/>
      <c r="X366" s="25">
        <v>20</v>
      </c>
      <c r="Y366" s="26">
        <f>T366+R366+Q366+U366+W366</f>
        <v>0</v>
      </c>
      <c r="Z366" s="27">
        <v>140</v>
      </c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>
        <f>SUM(AM366:AS366)</f>
        <v>0</v>
      </c>
      <c r="AM366" s="26"/>
      <c r="AN366" s="26"/>
      <c r="AO366" s="26"/>
      <c r="AP366" s="26"/>
      <c r="AQ366" s="26"/>
      <c r="AR366" s="26"/>
      <c r="AS366" s="26"/>
      <c r="AT366" s="28"/>
      <c r="AU366" s="28"/>
      <c r="AV366" s="26"/>
      <c r="AW366" s="26"/>
      <c r="AX366" s="28"/>
      <c r="AY366" s="72">
        <f>Y366-AV366-AX366-AW366</f>
        <v>0</v>
      </c>
      <c r="AZ366" s="68"/>
      <c r="BA366" s="26">
        <f>AL366+AG366+AA366+AT366</f>
        <v>0</v>
      </c>
      <c r="BB366" s="30">
        <f>BD366+AO366+AG366</f>
        <v>0</v>
      </c>
      <c r="BC366" s="30">
        <f>BD366+AS366</f>
        <v>0</v>
      </c>
      <c r="BD366" s="30">
        <f>IF(BA366&gt;0,Y366-BA366,BA366)</f>
        <v>0</v>
      </c>
      <c r="BE366" s="31">
        <v>24</v>
      </c>
      <c r="BF366" s="30" t="s">
        <v>57</v>
      </c>
      <c r="BG366" s="31">
        <f>BE366*Q366</f>
        <v>0</v>
      </c>
      <c r="BH366" s="31">
        <f>BE366*R366*0.4</f>
        <v>0</v>
      </c>
      <c r="BI366" s="31"/>
      <c r="BJ366" s="31"/>
      <c r="BK366" s="32">
        <f>Y366*BE366</f>
        <v>0</v>
      </c>
      <c r="BL366" s="25">
        <v>20</v>
      </c>
      <c r="BM366" s="25">
        <v>20</v>
      </c>
      <c r="BN366" s="25">
        <v>20</v>
      </c>
      <c r="BO366" s="25">
        <v>20</v>
      </c>
      <c r="BP366" s="25">
        <f>BE366*AV366</f>
        <v>0</v>
      </c>
      <c r="BQ366" s="25">
        <f>BE366*AX366</f>
        <v>0</v>
      </c>
      <c r="BR366" s="28"/>
      <c r="BS366" s="32"/>
    </row>
    <row r="367" spans="1:71" s="6" customFormat="1" ht="41.25" customHeight="1">
      <c r="A367" s="18">
        <v>364</v>
      </c>
      <c r="B367" s="18" t="s">
        <v>94</v>
      </c>
      <c r="C367" s="18" t="s">
        <v>177</v>
      </c>
      <c r="D367" s="18" t="s">
        <v>96</v>
      </c>
      <c r="E367" s="22" t="s">
        <v>696</v>
      </c>
      <c r="F367" s="52" t="s">
        <v>123</v>
      </c>
      <c r="G367" s="52" t="s">
        <v>123</v>
      </c>
      <c r="H367" s="22"/>
      <c r="I367" s="22"/>
      <c r="J367" s="22"/>
      <c r="K367" s="22"/>
      <c r="L367" s="22"/>
      <c r="M367" s="22"/>
      <c r="N367" s="22" t="s">
        <v>697</v>
      </c>
      <c r="O367" s="23"/>
      <c r="P367" s="38" t="s">
        <v>56</v>
      </c>
      <c r="Q367" s="29">
        <v>14</v>
      </c>
      <c r="R367" s="72"/>
      <c r="S367" s="40">
        <v>20</v>
      </c>
      <c r="T367" s="26"/>
      <c r="U367" s="26"/>
      <c r="V367" s="25">
        <v>20</v>
      </c>
      <c r="W367" s="26"/>
      <c r="X367" s="25">
        <v>20</v>
      </c>
      <c r="Y367" s="53">
        <f>T367+R367+Q367+U367+W367</f>
        <v>14</v>
      </c>
      <c r="Z367" s="27">
        <v>140</v>
      </c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>
        <f>SUM(AM367:AS367)</f>
        <v>0</v>
      </c>
      <c r="AM367" s="26"/>
      <c r="AN367" s="26"/>
      <c r="AO367" s="26"/>
      <c r="AP367" s="26"/>
      <c r="AQ367" s="26"/>
      <c r="AR367" s="26"/>
      <c r="AS367" s="26"/>
      <c r="AT367" s="28"/>
      <c r="AU367" s="28"/>
      <c r="AV367" s="26"/>
      <c r="AW367" s="26"/>
      <c r="AX367" s="28"/>
      <c r="AY367" s="29">
        <f>Y367-AV367-AX367-AW367</f>
        <v>14</v>
      </c>
      <c r="AZ367" s="29">
        <f>'Layout for shadhous 3'!I63</f>
        <v>12</v>
      </c>
      <c r="BA367" s="26">
        <f>AL367+AG367+AA367+AT367</f>
        <v>0</v>
      </c>
      <c r="BB367" s="30">
        <f>BD367+AO367+AG367</f>
        <v>0</v>
      </c>
      <c r="BC367" s="30">
        <f>BD367+AS367</f>
        <v>0</v>
      </c>
      <c r="BD367" s="30">
        <f>IF(BA367&gt;0,Y367-BA367,BA367)</f>
        <v>0</v>
      </c>
      <c r="BE367" s="31">
        <v>24</v>
      </c>
      <c r="BF367" s="30" t="s">
        <v>57</v>
      </c>
      <c r="BG367" s="31">
        <f>BE367*Q367</f>
        <v>336</v>
      </c>
      <c r="BH367" s="31">
        <f>BE367*R367*0.4</f>
        <v>0</v>
      </c>
      <c r="BI367" s="31"/>
      <c r="BJ367" s="31"/>
      <c r="BK367" s="32">
        <f>Y367*BE367</f>
        <v>336</v>
      </c>
      <c r="BL367" s="25">
        <v>20</v>
      </c>
      <c r="BM367" s="25">
        <v>20</v>
      </c>
      <c r="BN367" s="25">
        <v>20</v>
      </c>
      <c r="BO367" s="25">
        <v>20</v>
      </c>
      <c r="BP367" s="25">
        <f>BE367*AV367</f>
        <v>0</v>
      </c>
      <c r="BQ367" s="25">
        <f>BE367*AX367</f>
        <v>0</v>
      </c>
      <c r="BR367" s="26"/>
      <c r="BS367" s="32"/>
    </row>
    <row r="368" spans="1:71" s="6" customFormat="1" ht="41.25" customHeight="1">
      <c r="A368" s="18">
        <v>365</v>
      </c>
      <c r="B368" s="18" t="s">
        <v>94</v>
      </c>
      <c r="C368" s="18" t="s">
        <v>177</v>
      </c>
      <c r="D368" s="18" t="s">
        <v>96</v>
      </c>
      <c r="E368" s="22" t="s">
        <v>696</v>
      </c>
      <c r="F368" s="52" t="s">
        <v>123</v>
      </c>
      <c r="G368" s="52" t="s">
        <v>123</v>
      </c>
      <c r="H368" s="22"/>
      <c r="I368" s="22"/>
      <c r="J368" s="22"/>
      <c r="K368" s="22"/>
      <c r="L368" s="22"/>
      <c r="M368" s="22"/>
      <c r="N368" s="22" t="s">
        <v>702</v>
      </c>
      <c r="O368" s="23"/>
      <c r="P368" s="18" t="s">
        <v>56</v>
      </c>
      <c r="Q368" s="29">
        <v>20</v>
      </c>
      <c r="R368" s="72"/>
      <c r="S368" s="25">
        <v>20</v>
      </c>
      <c r="T368" s="26"/>
      <c r="U368" s="26"/>
      <c r="V368" s="25">
        <v>20</v>
      </c>
      <c r="W368" s="26"/>
      <c r="X368" s="25">
        <v>20</v>
      </c>
      <c r="Y368" s="53">
        <f>T368+R368+Q368+U368+W368</f>
        <v>20</v>
      </c>
      <c r="Z368" s="27">
        <v>140</v>
      </c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>
        <f>SUM(AM368:AS368)</f>
        <v>0</v>
      </c>
      <c r="AM368" s="26"/>
      <c r="AN368" s="26"/>
      <c r="AO368" s="26"/>
      <c r="AP368" s="26"/>
      <c r="AQ368" s="26"/>
      <c r="AR368" s="26"/>
      <c r="AS368" s="26"/>
      <c r="AT368" s="28"/>
      <c r="AU368" s="28"/>
      <c r="AV368" s="26"/>
      <c r="AW368" s="26"/>
      <c r="AX368" s="28"/>
      <c r="AY368" s="29">
        <f>Y368-AV368-AX368-AW368</f>
        <v>20</v>
      </c>
      <c r="AZ368" s="29">
        <f>'Layout for shadhous 3'!I65</f>
        <v>20</v>
      </c>
      <c r="BA368" s="26">
        <f>AL368+AG368+AA368+AT368</f>
        <v>0</v>
      </c>
      <c r="BB368" s="30">
        <f>BD368+AO368+AG368</f>
        <v>0</v>
      </c>
      <c r="BC368" s="30">
        <f>BD368+AS368</f>
        <v>0</v>
      </c>
      <c r="BD368" s="30">
        <f>IF(BA368&gt;0,Y368-BA368,BA368)</f>
        <v>0</v>
      </c>
      <c r="BE368" s="31">
        <v>8</v>
      </c>
      <c r="BF368" s="30" t="s">
        <v>57</v>
      </c>
      <c r="BG368" s="31">
        <f>BE368*Q368</f>
        <v>160</v>
      </c>
      <c r="BH368" s="31">
        <f>BE368*R368*0.4</f>
        <v>0</v>
      </c>
      <c r="BI368" s="31"/>
      <c r="BJ368" s="31"/>
      <c r="BK368" s="32">
        <f>Y368*BE368</f>
        <v>160</v>
      </c>
      <c r="BL368" s="25">
        <v>20</v>
      </c>
      <c r="BM368" s="25">
        <v>20</v>
      </c>
      <c r="BN368" s="25">
        <v>20</v>
      </c>
      <c r="BO368" s="25">
        <v>20</v>
      </c>
      <c r="BP368" s="25">
        <f>BE368*AV368</f>
        <v>0</v>
      </c>
      <c r="BQ368" s="25">
        <f>BE368*AX368</f>
        <v>0</v>
      </c>
      <c r="BR368" s="26"/>
      <c r="BS368" s="32"/>
    </row>
    <row r="369" spans="1:71" s="6" customFormat="1" ht="41.25" customHeight="1">
      <c r="A369" s="18">
        <v>366</v>
      </c>
      <c r="B369" s="18" t="s">
        <v>94</v>
      </c>
      <c r="C369" s="18" t="s">
        <v>166</v>
      </c>
      <c r="D369" s="18" t="s">
        <v>96</v>
      </c>
      <c r="E369" s="22" t="s">
        <v>703</v>
      </c>
      <c r="F369" s="48" t="s">
        <v>98</v>
      </c>
      <c r="G369" s="48"/>
      <c r="H369" s="22"/>
      <c r="I369" s="22"/>
      <c r="J369" s="22"/>
      <c r="K369" s="22"/>
      <c r="L369" s="22"/>
      <c r="M369" s="22"/>
      <c r="N369" s="22" t="s">
        <v>704</v>
      </c>
      <c r="O369" s="23"/>
      <c r="P369" s="38" t="s">
        <v>56</v>
      </c>
      <c r="Q369" s="29">
        <v>20</v>
      </c>
      <c r="R369" s="72"/>
      <c r="S369" s="40">
        <v>20</v>
      </c>
      <c r="T369" s="63">
        <v>5</v>
      </c>
      <c r="U369" s="26"/>
      <c r="V369" s="25">
        <v>20</v>
      </c>
      <c r="W369" s="26"/>
      <c r="X369" s="25">
        <v>20</v>
      </c>
      <c r="Y369" s="53">
        <f>T369+R369+Q369+U369+W369</f>
        <v>25</v>
      </c>
      <c r="Z369" s="27">
        <v>140</v>
      </c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>
        <f>SUM(AM369:AS369)</f>
        <v>0</v>
      </c>
      <c r="AM369" s="26"/>
      <c r="AN369" s="26"/>
      <c r="AO369" s="26"/>
      <c r="AP369" s="26"/>
      <c r="AQ369" s="26"/>
      <c r="AR369" s="26"/>
      <c r="AS369" s="26"/>
      <c r="AT369" s="28"/>
      <c r="AU369" s="28"/>
      <c r="AV369" s="26"/>
      <c r="AW369" s="26"/>
      <c r="AX369" s="28"/>
      <c r="AY369" s="29">
        <f>Y369-AV369-AX369-AW369</f>
        <v>25</v>
      </c>
      <c r="AZ369" s="29">
        <f>'Layout for shadhous 3'!I64</f>
        <v>24</v>
      </c>
      <c r="BA369" s="26">
        <f>AL369+AG369+AA369+AT369</f>
        <v>0</v>
      </c>
      <c r="BB369" s="30">
        <f>BD369+AO369+AG369</f>
        <v>0</v>
      </c>
      <c r="BC369" s="30">
        <f>BD369+AS369</f>
        <v>0</v>
      </c>
      <c r="BD369" s="30">
        <f>IF(BA369&gt;0,Y369-BA369,BA369)</f>
        <v>0</v>
      </c>
      <c r="BE369" s="31">
        <v>8</v>
      </c>
      <c r="BF369" s="30" t="s">
        <v>57</v>
      </c>
      <c r="BG369" s="31">
        <f>BE369*Q369</f>
        <v>160</v>
      </c>
      <c r="BH369" s="31">
        <f>BE369*R369*0.4</f>
        <v>0</v>
      </c>
      <c r="BI369" s="31"/>
      <c r="BJ369" s="31"/>
      <c r="BK369" s="32">
        <f>Y369*BE369</f>
        <v>200</v>
      </c>
      <c r="BL369" s="25">
        <v>20</v>
      </c>
      <c r="BM369" s="25">
        <v>20</v>
      </c>
      <c r="BN369" s="25">
        <v>20</v>
      </c>
      <c r="BO369" s="25">
        <v>20</v>
      </c>
      <c r="BP369" s="25">
        <f>BE369*AV369</f>
        <v>0</v>
      </c>
      <c r="BQ369" s="25">
        <f>BE369*AX369</f>
        <v>0</v>
      </c>
      <c r="BR369" s="28"/>
      <c r="BS369" s="32"/>
    </row>
    <row r="370" spans="1:71" s="6" customFormat="1" ht="41.25" customHeight="1">
      <c r="A370" s="18">
        <v>367</v>
      </c>
      <c r="B370" s="18" t="s">
        <v>94</v>
      </c>
      <c r="C370" s="18" t="s">
        <v>166</v>
      </c>
      <c r="D370" s="18" t="s">
        <v>96</v>
      </c>
      <c r="E370" s="22" t="s">
        <v>703</v>
      </c>
      <c r="F370" s="48" t="s">
        <v>98</v>
      </c>
      <c r="G370" s="48"/>
      <c r="H370" s="22"/>
      <c r="I370" s="22"/>
      <c r="J370" s="22"/>
      <c r="K370" s="22"/>
      <c r="L370" s="22"/>
      <c r="M370" s="22"/>
      <c r="N370" s="22" t="s">
        <v>705</v>
      </c>
      <c r="O370" s="23"/>
      <c r="P370" s="18" t="s">
        <v>56</v>
      </c>
      <c r="Q370" s="29">
        <v>20</v>
      </c>
      <c r="R370" s="72"/>
      <c r="S370" s="25">
        <v>20</v>
      </c>
      <c r="T370" s="63">
        <v>20</v>
      </c>
      <c r="U370" s="26"/>
      <c r="V370" s="25">
        <v>20</v>
      </c>
      <c r="W370" s="29">
        <v>84</v>
      </c>
      <c r="X370" s="25">
        <v>20</v>
      </c>
      <c r="Y370" s="53">
        <f>T370+R370+Q370+U370+W370</f>
        <v>124</v>
      </c>
      <c r="Z370" s="27">
        <v>140</v>
      </c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>
        <f>SUM(AM370:AS370)</f>
        <v>0</v>
      </c>
      <c r="AM370" s="26"/>
      <c r="AN370" s="26"/>
      <c r="AO370" s="26"/>
      <c r="AP370" s="26"/>
      <c r="AQ370" s="26"/>
      <c r="AR370" s="26"/>
      <c r="AS370" s="26"/>
      <c r="AT370" s="28"/>
      <c r="AU370" s="28"/>
      <c r="AV370" s="26"/>
      <c r="AW370" s="26"/>
      <c r="AX370" s="28"/>
      <c r="AY370" s="29">
        <f>Y370-AV370-AX370-AW370</f>
        <v>124</v>
      </c>
      <c r="AZ370" s="29">
        <f>'Layout for shadhous 3'!M51</f>
        <v>124</v>
      </c>
      <c r="BA370" s="26">
        <f>AL370+AG370+AA370+AT370</f>
        <v>0</v>
      </c>
      <c r="BB370" s="30">
        <f>BD370+AO370+AG370</f>
        <v>0</v>
      </c>
      <c r="BC370" s="30">
        <f>BD370+AS370</f>
        <v>0</v>
      </c>
      <c r="BD370" s="30">
        <f>IF(BA370&gt;0,Y370-BA370,BA370)</f>
        <v>0</v>
      </c>
      <c r="BE370" s="31">
        <v>8</v>
      </c>
      <c r="BF370" s="30" t="s">
        <v>57</v>
      </c>
      <c r="BG370" s="31">
        <f>BE370*Q370</f>
        <v>160</v>
      </c>
      <c r="BH370" s="31">
        <f>BE370*R370*0.4</f>
        <v>0</v>
      </c>
      <c r="BI370" s="31"/>
      <c r="BJ370" s="31"/>
      <c r="BK370" s="32">
        <f>Y370*BE370</f>
        <v>992</v>
      </c>
      <c r="BL370" s="25">
        <v>20</v>
      </c>
      <c r="BM370" s="25">
        <v>20</v>
      </c>
      <c r="BN370" s="25">
        <v>20</v>
      </c>
      <c r="BO370" s="25">
        <v>20</v>
      </c>
      <c r="BP370" s="25">
        <f>BE370*AV370</f>
        <v>0</v>
      </c>
      <c r="BQ370" s="25">
        <f>BE370*AX370</f>
        <v>0</v>
      </c>
      <c r="BR370" s="28"/>
      <c r="BS370" s="32"/>
    </row>
    <row r="371" spans="1:71" s="6" customFormat="1" ht="41.25" customHeight="1">
      <c r="A371" s="18">
        <v>368</v>
      </c>
      <c r="B371" s="18" t="s">
        <v>94</v>
      </c>
      <c r="C371" s="18" t="s">
        <v>177</v>
      </c>
      <c r="D371" s="18" t="s">
        <v>96</v>
      </c>
      <c r="E371" s="22" t="s">
        <v>706</v>
      </c>
      <c r="F371" s="52" t="s">
        <v>123</v>
      </c>
      <c r="G371" s="52" t="s">
        <v>123</v>
      </c>
      <c r="H371" s="22"/>
      <c r="I371" s="22"/>
      <c r="J371" s="22"/>
      <c r="K371" s="22"/>
      <c r="L371" s="22"/>
      <c r="M371" s="22"/>
      <c r="N371" s="22" t="s">
        <v>707</v>
      </c>
      <c r="O371" s="23"/>
      <c r="P371" s="38" t="s">
        <v>56</v>
      </c>
      <c r="Q371" s="29">
        <v>20</v>
      </c>
      <c r="R371" s="72"/>
      <c r="S371" s="40">
        <v>20</v>
      </c>
      <c r="T371" s="63">
        <v>20</v>
      </c>
      <c r="U371" s="26"/>
      <c r="V371" s="25">
        <v>20</v>
      </c>
      <c r="W371" s="29">
        <v>128</v>
      </c>
      <c r="X371" s="25">
        <v>20</v>
      </c>
      <c r="Y371" s="53">
        <f>T371+R371+Q371+U371+W371</f>
        <v>168</v>
      </c>
      <c r="Z371" s="27">
        <v>140</v>
      </c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>
        <f>SUM(AM371:AS371)</f>
        <v>0</v>
      </c>
      <c r="AM371" s="26"/>
      <c r="AN371" s="26"/>
      <c r="AO371" s="26"/>
      <c r="AP371" s="26"/>
      <c r="AQ371" s="26"/>
      <c r="AR371" s="26"/>
      <c r="AS371" s="26"/>
      <c r="AT371" s="28"/>
      <c r="AU371" s="28"/>
      <c r="AV371" s="26"/>
      <c r="AW371" s="26"/>
      <c r="AX371" s="28"/>
      <c r="AY371" s="29">
        <f>Y371-AV371-AX371-AW371</f>
        <v>168</v>
      </c>
      <c r="AZ371" s="29">
        <f>'Layout for shadhous 3'!M49</f>
        <v>168</v>
      </c>
      <c r="BA371" s="26">
        <f>AL371+AG371+AA371+AT371</f>
        <v>0</v>
      </c>
      <c r="BB371" s="30">
        <f>BD371+AO371+AG371</f>
        <v>0</v>
      </c>
      <c r="BC371" s="30">
        <f>BD371+AS371</f>
        <v>0</v>
      </c>
      <c r="BD371" s="30">
        <f>IF(BA371&gt;0,Y371-BA371,BA371)</f>
        <v>0</v>
      </c>
      <c r="BE371" s="31">
        <v>8</v>
      </c>
      <c r="BF371" s="30" t="s">
        <v>57</v>
      </c>
      <c r="BG371" s="31">
        <f>BE371*Q371</f>
        <v>160</v>
      </c>
      <c r="BH371" s="31">
        <f>BE371*R371*0.4</f>
        <v>0</v>
      </c>
      <c r="BI371" s="31"/>
      <c r="BJ371" s="31"/>
      <c r="BK371" s="32">
        <f>Y371*BE371</f>
        <v>1344</v>
      </c>
      <c r="BL371" s="25">
        <v>20</v>
      </c>
      <c r="BM371" s="25">
        <v>20</v>
      </c>
      <c r="BN371" s="25">
        <v>20</v>
      </c>
      <c r="BO371" s="25">
        <v>20</v>
      </c>
      <c r="BP371" s="25">
        <f>BE371*AV371</f>
        <v>0</v>
      </c>
      <c r="BQ371" s="25">
        <f>BE371*AX371</f>
        <v>0</v>
      </c>
      <c r="BR371" s="26"/>
      <c r="BS371" s="32"/>
    </row>
    <row r="372" spans="1:71" s="6" customFormat="1" ht="41.25" customHeight="1">
      <c r="A372" s="18">
        <v>369</v>
      </c>
      <c r="B372" s="18" t="s">
        <v>94</v>
      </c>
      <c r="C372" s="18" t="s">
        <v>177</v>
      </c>
      <c r="D372" s="18" t="s">
        <v>96</v>
      </c>
      <c r="E372" s="22" t="s">
        <v>706</v>
      </c>
      <c r="F372" s="52" t="s">
        <v>123</v>
      </c>
      <c r="G372" s="52"/>
      <c r="H372" s="22"/>
      <c r="I372" s="22"/>
      <c r="J372" s="22"/>
      <c r="K372" s="22"/>
      <c r="L372" s="22"/>
      <c r="M372" s="22"/>
      <c r="N372" s="22" t="s">
        <v>708</v>
      </c>
      <c r="O372" s="23"/>
      <c r="P372" s="38" t="s">
        <v>56</v>
      </c>
      <c r="Q372" s="29">
        <v>20</v>
      </c>
      <c r="R372" s="72"/>
      <c r="S372" s="40">
        <v>20</v>
      </c>
      <c r="T372" s="26"/>
      <c r="U372" s="26"/>
      <c r="V372" s="25">
        <v>20</v>
      </c>
      <c r="W372" s="26"/>
      <c r="X372" s="25">
        <v>20</v>
      </c>
      <c r="Y372" s="53">
        <f>T372+R372+Q372+U372+W372</f>
        <v>20</v>
      </c>
      <c r="Z372" s="27">
        <v>140</v>
      </c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>
        <f>SUM(AM372:AS372)</f>
        <v>0</v>
      </c>
      <c r="AM372" s="26"/>
      <c r="AN372" s="26"/>
      <c r="AO372" s="26"/>
      <c r="AP372" s="26"/>
      <c r="AQ372" s="26"/>
      <c r="AR372" s="26"/>
      <c r="AS372" s="26"/>
      <c r="AT372" s="28"/>
      <c r="AU372" s="28"/>
      <c r="AV372" s="26"/>
      <c r="AW372" s="26"/>
      <c r="AX372" s="28"/>
      <c r="AY372" s="29">
        <f>Y372-AV372-AX372-AW372</f>
        <v>20</v>
      </c>
      <c r="AZ372" s="29">
        <f>'Layout for trees right'!I24</f>
        <v>20</v>
      </c>
      <c r="BA372" s="26">
        <f>AL372+AG372+AA372+AT372</f>
        <v>0</v>
      </c>
      <c r="BB372" s="30">
        <f>BD372+AO372+AG372</f>
        <v>0</v>
      </c>
      <c r="BC372" s="30">
        <f>BD372+AS372</f>
        <v>0</v>
      </c>
      <c r="BD372" s="30">
        <f>IF(BA372&gt;0,Y372-BA372,BA372)</f>
        <v>0</v>
      </c>
      <c r="BE372" s="31">
        <v>24</v>
      </c>
      <c r="BF372" s="30" t="s">
        <v>57</v>
      </c>
      <c r="BG372" s="31">
        <f>BE372*Q372</f>
        <v>480</v>
      </c>
      <c r="BH372" s="31">
        <f>BE372*R372*0.4</f>
        <v>0</v>
      </c>
      <c r="BI372" s="142"/>
      <c r="BJ372" s="142"/>
      <c r="BK372" s="32">
        <f>Y372*BE372</f>
        <v>480</v>
      </c>
      <c r="BL372" s="25">
        <v>20</v>
      </c>
      <c r="BM372" s="25">
        <v>20</v>
      </c>
      <c r="BN372" s="25">
        <v>20</v>
      </c>
      <c r="BO372" s="25">
        <v>20</v>
      </c>
      <c r="BP372" s="25">
        <f>BE372*AV372</f>
        <v>0</v>
      </c>
      <c r="BQ372" s="25">
        <f>BE372*AX372</f>
        <v>0</v>
      </c>
      <c r="BR372" s="28"/>
      <c r="BS372" s="32"/>
    </row>
    <row r="373" spans="1:71" s="6" customFormat="1" ht="41.25" customHeight="1">
      <c r="A373" s="18">
        <v>370</v>
      </c>
      <c r="B373" s="18" t="s">
        <v>58</v>
      </c>
      <c r="C373" s="18" t="s">
        <v>259</v>
      </c>
      <c r="D373" s="21" t="s">
        <v>50</v>
      </c>
      <c r="E373" s="20" t="s">
        <v>700</v>
      </c>
      <c r="F373" s="52" t="s">
        <v>123</v>
      </c>
      <c r="G373" s="52"/>
      <c r="H373" s="22">
        <v>300</v>
      </c>
      <c r="I373" s="22">
        <v>500</v>
      </c>
      <c r="J373" s="22"/>
      <c r="K373" s="22"/>
      <c r="L373" s="20" t="s">
        <v>53</v>
      </c>
      <c r="M373" s="22"/>
      <c r="N373" s="22" t="s">
        <v>709</v>
      </c>
      <c r="O373" s="23"/>
      <c r="P373" s="18" t="s">
        <v>56</v>
      </c>
      <c r="Q373" s="72"/>
      <c r="R373" s="72"/>
      <c r="S373" s="25">
        <v>20</v>
      </c>
      <c r="T373" s="26"/>
      <c r="U373" s="26"/>
      <c r="V373" s="25">
        <v>20</v>
      </c>
      <c r="W373" s="26"/>
      <c r="X373" s="25">
        <v>12</v>
      </c>
      <c r="Y373" s="26">
        <f>T373+R373+Q373+U373+W373</f>
        <v>0</v>
      </c>
      <c r="Z373" s="27">
        <v>100</v>
      </c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>
        <f>SUM(AM373:AS373)</f>
        <v>0</v>
      </c>
      <c r="AM373" s="26"/>
      <c r="AN373" s="26"/>
      <c r="AO373" s="26"/>
      <c r="AP373" s="26"/>
      <c r="AQ373" s="26"/>
      <c r="AR373" s="26"/>
      <c r="AS373" s="26"/>
      <c r="AT373" s="28"/>
      <c r="AU373" s="28"/>
      <c r="AV373" s="26"/>
      <c r="AW373" s="26"/>
      <c r="AX373" s="28"/>
      <c r="AY373" s="72">
        <f>Y373-AV373-AX373-AW373</f>
        <v>0</v>
      </c>
      <c r="AZ373" s="68"/>
      <c r="BA373" s="26">
        <f>AL373+AG373+AA373+AT373</f>
        <v>0</v>
      </c>
      <c r="BB373" s="30">
        <f>BD373+AO373+AG373</f>
        <v>0</v>
      </c>
      <c r="BC373" s="30">
        <f>BD373+AS373</f>
        <v>0</v>
      </c>
      <c r="BD373" s="30">
        <f>IF(BA373&gt;0,Y373-BA373,BA373)</f>
        <v>0</v>
      </c>
      <c r="BE373" s="31">
        <v>93</v>
      </c>
      <c r="BF373" s="30" t="s">
        <v>57</v>
      </c>
      <c r="BG373" s="31">
        <f>BE373*Q373</f>
        <v>0</v>
      </c>
      <c r="BH373" s="31">
        <f>BE373*R373*0.4</f>
        <v>0</v>
      </c>
      <c r="BI373" s="142"/>
      <c r="BJ373" s="142"/>
      <c r="BK373" s="32">
        <f>Y373*BE373</f>
        <v>0</v>
      </c>
      <c r="BL373" s="25">
        <v>12</v>
      </c>
      <c r="BM373" s="25">
        <v>12</v>
      </c>
      <c r="BN373" s="25">
        <v>12</v>
      </c>
      <c r="BO373" s="25">
        <v>12</v>
      </c>
      <c r="BP373" s="25">
        <f>BE373*AV373</f>
        <v>0</v>
      </c>
      <c r="BQ373" s="25">
        <f>BE373*AX373</f>
        <v>0</v>
      </c>
      <c r="BR373" s="28"/>
      <c r="BS373" s="32"/>
    </row>
    <row r="374" spans="1:71" s="6" customFormat="1" ht="41.25" customHeight="1">
      <c r="A374" s="18">
        <v>371</v>
      </c>
      <c r="B374" s="18" t="s">
        <v>94</v>
      </c>
      <c r="C374" s="18" t="s">
        <v>135</v>
      </c>
      <c r="D374" s="18" t="s">
        <v>96</v>
      </c>
      <c r="E374" s="20" t="s">
        <v>277</v>
      </c>
      <c r="F374" s="34" t="s">
        <v>128</v>
      </c>
      <c r="G374" s="34" t="s">
        <v>128</v>
      </c>
      <c r="H374" s="22"/>
      <c r="I374" s="22"/>
      <c r="J374" s="22"/>
      <c r="K374" s="22"/>
      <c r="L374" s="20" t="s">
        <v>53</v>
      </c>
      <c r="M374" s="22"/>
      <c r="N374" s="22" t="s">
        <v>710</v>
      </c>
      <c r="O374" s="23" t="s">
        <v>711</v>
      </c>
      <c r="P374" s="18" t="s">
        <v>56</v>
      </c>
      <c r="Q374" s="42"/>
      <c r="R374" s="72"/>
      <c r="S374" s="25"/>
      <c r="T374" s="26"/>
      <c r="U374" s="26"/>
      <c r="V374" s="26"/>
      <c r="W374" s="29">
        <v>75</v>
      </c>
      <c r="X374" s="25"/>
      <c r="Y374" s="53">
        <f>T374+R374+Q374+U374+W374</f>
        <v>75</v>
      </c>
      <c r="Z374" s="27">
        <v>200</v>
      </c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>
        <f>SUM(AM374:AS374)</f>
        <v>0</v>
      </c>
      <c r="AM374" s="26"/>
      <c r="AN374" s="26"/>
      <c r="AO374" s="26"/>
      <c r="AP374" s="26"/>
      <c r="AQ374" s="26"/>
      <c r="AR374" s="26"/>
      <c r="AS374" s="26"/>
      <c r="AT374" s="28"/>
      <c r="AU374" s="28"/>
      <c r="AV374" s="26"/>
      <c r="AW374" s="26"/>
      <c r="AX374" s="28"/>
      <c r="AY374" s="29">
        <f>Y374-AV374-AX374-AW374</f>
        <v>75</v>
      </c>
      <c r="AZ374" s="29"/>
      <c r="BA374" s="26">
        <f>AL374+AG374+AA374+AT374</f>
        <v>0</v>
      </c>
      <c r="BB374" s="30">
        <f>BD374+AO374+AG374</f>
        <v>0</v>
      </c>
      <c r="BC374" s="30">
        <f>BD374+AS374</f>
        <v>0</v>
      </c>
      <c r="BD374" s="30">
        <f>IF(BA374&gt;0,Y374-BA374,BA374)</f>
        <v>0</v>
      </c>
      <c r="BE374" s="31">
        <v>8</v>
      </c>
      <c r="BF374" s="30" t="s">
        <v>57</v>
      </c>
      <c r="BG374" s="31">
        <f>BE374*Q374</f>
        <v>0</v>
      </c>
      <c r="BH374" s="31">
        <f>BE374*R374*0.4</f>
        <v>0</v>
      </c>
      <c r="BI374" s="142"/>
      <c r="BJ374" s="142"/>
      <c r="BK374" s="32">
        <f>Y374*BE374</f>
        <v>600</v>
      </c>
      <c r="BL374" s="25"/>
      <c r="BM374" s="25"/>
      <c r="BN374" s="25"/>
      <c r="BO374" s="25">
        <v>200</v>
      </c>
      <c r="BP374" s="25">
        <f>BE374*AV374</f>
        <v>0</v>
      </c>
      <c r="BQ374" s="25">
        <f>BE374*AX374</f>
        <v>0</v>
      </c>
      <c r="BR374" s="26"/>
      <c r="BS374" s="32"/>
    </row>
    <row r="375" spans="1:71" s="6" customFormat="1" ht="41.25" customHeight="1">
      <c r="A375" s="18">
        <v>372</v>
      </c>
      <c r="B375" s="18" t="s">
        <v>94</v>
      </c>
      <c r="C375" s="18" t="s">
        <v>121</v>
      </c>
      <c r="D375" s="18" t="s">
        <v>96</v>
      </c>
      <c r="E375" s="20" t="s">
        <v>636</v>
      </c>
      <c r="F375" s="52" t="s">
        <v>123</v>
      </c>
      <c r="G375" s="52"/>
      <c r="H375" s="22"/>
      <c r="I375" s="22"/>
      <c r="J375" s="22"/>
      <c r="K375" s="22"/>
      <c r="L375" s="20" t="s">
        <v>53</v>
      </c>
      <c r="M375" s="22"/>
      <c r="N375" s="22" t="s">
        <v>714</v>
      </c>
      <c r="O375" s="23"/>
      <c r="P375" s="38" t="s">
        <v>56</v>
      </c>
      <c r="Q375" s="72"/>
      <c r="R375" s="72"/>
      <c r="S375" s="40">
        <v>40</v>
      </c>
      <c r="T375" s="26"/>
      <c r="U375" s="26"/>
      <c r="V375" s="25">
        <v>40</v>
      </c>
      <c r="W375" s="26"/>
      <c r="X375" s="25">
        <v>40</v>
      </c>
      <c r="Y375" s="26">
        <f>T375+R375+Q375+U375+W375</f>
        <v>0</v>
      </c>
      <c r="Z375" s="27">
        <v>280</v>
      </c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>
        <f>SUM(AM375:AS375)</f>
        <v>0</v>
      </c>
      <c r="AM375" s="26"/>
      <c r="AN375" s="26"/>
      <c r="AO375" s="26"/>
      <c r="AP375" s="26"/>
      <c r="AQ375" s="26"/>
      <c r="AR375" s="26"/>
      <c r="AS375" s="26"/>
      <c r="AT375" s="28"/>
      <c r="AU375" s="28"/>
      <c r="AV375" s="26"/>
      <c r="AW375" s="26"/>
      <c r="AX375" s="28"/>
      <c r="AY375" s="72">
        <f>Y375-AV375-AX375-AW375</f>
        <v>0</v>
      </c>
      <c r="AZ375" s="68"/>
      <c r="BA375" s="26">
        <f>AL375+AG375+AA375+AT375</f>
        <v>0</v>
      </c>
      <c r="BB375" s="30">
        <f>BD375+AO375+AG375</f>
        <v>0</v>
      </c>
      <c r="BC375" s="30">
        <f>BD375+AS375</f>
        <v>0</v>
      </c>
      <c r="BD375" s="30">
        <f>IF(BA375&gt;0,Y375-BA375,BA375)</f>
        <v>0</v>
      </c>
      <c r="BE375" s="31">
        <v>5</v>
      </c>
      <c r="BF375" s="30" t="s">
        <v>57</v>
      </c>
      <c r="BG375" s="31">
        <f>BE375*Q375</f>
        <v>0</v>
      </c>
      <c r="BH375" s="31">
        <f>BE375*R375*0.4</f>
        <v>0</v>
      </c>
      <c r="BI375" s="142"/>
      <c r="BJ375" s="142"/>
      <c r="BK375" s="32">
        <f>Y375*BE375</f>
        <v>0</v>
      </c>
      <c r="BL375" s="25">
        <v>40</v>
      </c>
      <c r="BM375" s="25">
        <v>40</v>
      </c>
      <c r="BN375" s="25">
        <v>40</v>
      </c>
      <c r="BO375" s="25">
        <v>40</v>
      </c>
      <c r="BP375" s="25">
        <f>BE375*AV375</f>
        <v>0</v>
      </c>
      <c r="BQ375" s="25">
        <f>BE375*AX375</f>
        <v>0</v>
      </c>
      <c r="BR375" s="26"/>
      <c r="BS375" s="32"/>
    </row>
    <row r="376" spans="1:71" s="6" customFormat="1" ht="41.25" customHeight="1">
      <c r="A376" s="18">
        <v>373</v>
      </c>
      <c r="B376" s="18" t="s">
        <v>58</v>
      </c>
      <c r="C376" s="33" t="s">
        <v>59</v>
      </c>
      <c r="D376" s="34" t="s">
        <v>60</v>
      </c>
      <c r="E376" s="20" t="s">
        <v>686</v>
      </c>
      <c r="F376" s="34" t="s">
        <v>62</v>
      </c>
      <c r="G376" s="22"/>
      <c r="H376" s="22"/>
      <c r="I376" s="22"/>
      <c r="J376" s="22"/>
      <c r="K376" s="22"/>
      <c r="L376" s="20" t="s">
        <v>53</v>
      </c>
      <c r="M376" s="22"/>
      <c r="N376" s="22" t="s">
        <v>715</v>
      </c>
      <c r="O376" s="23" t="s">
        <v>716</v>
      </c>
      <c r="P376" s="18" t="s">
        <v>65</v>
      </c>
      <c r="Q376" s="72"/>
      <c r="R376" s="72"/>
      <c r="S376" s="35">
        <v>45</v>
      </c>
      <c r="T376" s="26"/>
      <c r="U376" s="26"/>
      <c r="V376" s="35">
        <v>45</v>
      </c>
      <c r="W376" s="154"/>
      <c r="X376" s="35">
        <v>45</v>
      </c>
      <c r="Y376" s="26">
        <f>T376+R376+Q376+U376+W376</f>
        <v>0</v>
      </c>
      <c r="Z376" s="27">
        <v>315</v>
      </c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>
        <f>SUM(AM376:AS376)</f>
        <v>0</v>
      </c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72">
        <f>Y376-AV376-AX376-AW376</f>
        <v>0</v>
      </c>
      <c r="AZ376" s="68"/>
      <c r="BA376" s="26">
        <f>AL376+AG376+AA376+AT376</f>
        <v>0</v>
      </c>
      <c r="BB376" s="30">
        <f>BD376+AO376+AG376</f>
        <v>0</v>
      </c>
      <c r="BC376" s="30">
        <f>BD376+AS376</f>
        <v>0</v>
      </c>
      <c r="BD376" s="30">
        <f>IF(BA376&gt;0,Y376-BA376,BA376)</f>
        <v>0</v>
      </c>
      <c r="BE376" s="31">
        <v>374</v>
      </c>
      <c r="BF376" s="30" t="s">
        <v>57</v>
      </c>
      <c r="BG376" s="31">
        <f>BE376*Q376</f>
        <v>0</v>
      </c>
      <c r="BH376" s="31">
        <f>BE376*R376*0.4</f>
        <v>0</v>
      </c>
      <c r="BI376" s="31"/>
      <c r="BJ376" s="31"/>
      <c r="BK376" s="32">
        <f>Y376*BE376</f>
        <v>0</v>
      </c>
      <c r="BL376" s="35">
        <v>45</v>
      </c>
      <c r="BM376" s="35">
        <v>45</v>
      </c>
      <c r="BN376" s="35">
        <v>45</v>
      </c>
      <c r="BO376" s="35">
        <v>45</v>
      </c>
      <c r="BP376" s="25">
        <f>BE376*AV376</f>
        <v>0</v>
      </c>
      <c r="BQ376" s="25">
        <f>BE376*AX376</f>
        <v>0</v>
      </c>
      <c r="BR376" s="26"/>
      <c r="BS376" s="32"/>
    </row>
    <row r="377" spans="1:71" s="6" customFormat="1" ht="41.25" customHeight="1">
      <c r="A377" s="18">
        <v>374</v>
      </c>
      <c r="B377" s="18" t="s">
        <v>94</v>
      </c>
      <c r="C377" s="18" t="s">
        <v>177</v>
      </c>
      <c r="D377" s="18" t="s">
        <v>96</v>
      </c>
      <c r="E377" s="20" t="s">
        <v>717</v>
      </c>
      <c r="F377" s="52" t="s">
        <v>123</v>
      </c>
      <c r="G377" s="52"/>
      <c r="H377" s="22"/>
      <c r="I377" s="22"/>
      <c r="J377" s="22"/>
      <c r="K377" s="22"/>
      <c r="L377" s="20" t="s">
        <v>53</v>
      </c>
      <c r="M377" s="22"/>
      <c r="N377" s="22" t="s">
        <v>718</v>
      </c>
      <c r="O377" s="23"/>
      <c r="P377" s="18" t="s">
        <v>56</v>
      </c>
      <c r="Q377" s="72"/>
      <c r="R377" s="72"/>
      <c r="S377" s="25">
        <v>20</v>
      </c>
      <c r="T377" s="26"/>
      <c r="U377" s="26"/>
      <c r="V377" s="25">
        <v>20</v>
      </c>
      <c r="W377" s="26"/>
      <c r="X377" s="25">
        <v>20</v>
      </c>
      <c r="Y377" s="26">
        <f>T377+R377+Q377+U377+W377</f>
        <v>0</v>
      </c>
      <c r="Z377" s="27">
        <v>140</v>
      </c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>
        <f>SUM(AM377:AS377)</f>
        <v>0</v>
      </c>
      <c r="AM377" s="26"/>
      <c r="AN377" s="26"/>
      <c r="AO377" s="26"/>
      <c r="AP377" s="26"/>
      <c r="AQ377" s="26"/>
      <c r="AR377" s="26"/>
      <c r="AS377" s="26"/>
      <c r="AT377" s="28"/>
      <c r="AU377" s="28"/>
      <c r="AV377" s="26"/>
      <c r="AW377" s="26"/>
      <c r="AX377" s="28"/>
      <c r="AY377" s="72">
        <f>Y377-AV377-AX377-AW377</f>
        <v>0</v>
      </c>
      <c r="AZ377" s="68"/>
      <c r="BA377" s="26">
        <f>AL377+AG377+AA377+AT377</f>
        <v>0</v>
      </c>
      <c r="BB377" s="30">
        <f>BD377+AO377+AG377</f>
        <v>0</v>
      </c>
      <c r="BC377" s="30">
        <f>BD377+AS377</f>
        <v>0</v>
      </c>
      <c r="BD377" s="30">
        <f>IF(BA377&gt;0,Y377-BA377,BA377)</f>
        <v>0</v>
      </c>
      <c r="BE377" s="31">
        <v>3</v>
      </c>
      <c r="BF377" s="30" t="s">
        <v>57</v>
      </c>
      <c r="BG377" s="31">
        <f>BE377*Q377</f>
        <v>0</v>
      </c>
      <c r="BH377" s="31">
        <f>BE377*R377*0.4</f>
        <v>0</v>
      </c>
      <c r="BI377" s="142"/>
      <c r="BJ377" s="142"/>
      <c r="BK377" s="32">
        <f>Y377*BE377</f>
        <v>0</v>
      </c>
      <c r="BL377" s="25">
        <v>20</v>
      </c>
      <c r="BM377" s="25">
        <v>20</v>
      </c>
      <c r="BN377" s="25">
        <v>20</v>
      </c>
      <c r="BO377" s="25">
        <v>20</v>
      </c>
      <c r="BP377" s="25">
        <f>BE377*AV377</f>
        <v>0</v>
      </c>
      <c r="BQ377" s="25">
        <f>BE377*AX377</f>
        <v>0</v>
      </c>
      <c r="BR377" s="26"/>
      <c r="BS377" s="32"/>
    </row>
    <row r="378" spans="1:71" s="6" customFormat="1" ht="41.25" customHeight="1">
      <c r="A378" s="18">
        <v>375</v>
      </c>
      <c r="B378" s="18" t="s">
        <v>87</v>
      </c>
      <c r="C378" s="65" t="s">
        <v>125</v>
      </c>
      <c r="D378" s="47" t="s">
        <v>89</v>
      </c>
      <c r="E378" s="20" t="s">
        <v>719</v>
      </c>
      <c r="F378" s="21" t="s">
        <v>443</v>
      </c>
      <c r="G378" s="21"/>
      <c r="H378" s="22"/>
      <c r="I378" s="22" t="s">
        <v>345</v>
      </c>
      <c r="J378" s="22"/>
      <c r="K378" s="22"/>
      <c r="L378" s="20" t="s">
        <v>53</v>
      </c>
      <c r="M378" s="22"/>
      <c r="N378" s="22" t="s">
        <v>720</v>
      </c>
      <c r="O378" s="23" t="s">
        <v>721</v>
      </c>
      <c r="P378" s="18" t="s">
        <v>56</v>
      </c>
      <c r="Q378" s="72"/>
      <c r="R378" s="72"/>
      <c r="S378" s="25">
        <v>100</v>
      </c>
      <c r="T378" s="26"/>
      <c r="U378" s="26"/>
      <c r="V378" s="25"/>
      <c r="W378" s="26"/>
      <c r="X378" s="25"/>
      <c r="Y378" s="26">
        <f>T378+R378+Q378+U378+W378</f>
        <v>0</v>
      </c>
      <c r="Z378" s="27">
        <v>100</v>
      </c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>
        <f>SUM(AM378:AS378)</f>
        <v>0</v>
      </c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72">
        <f>Y378-AV378-AX378-AW378</f>
        <v>0</v>
      </c>
      <c r="AZ378" s="68"/>
      <c r="BA378" s="26">
        <f>AL378+AG378+AA378+AT378</f>
        <v>0</v>
      </c>
      <c r="BB378" s="30">
        <f>BD378+AO378+AG378</f>
        <v>0</v>
      </c>
      <c r="BC378" s="30">
        <f>BD378+AS378</f>
        <v>0</v>
      </c>
      <c r="BD378" s="30">
        <f>IF(BA378&gt;0,Y378-BA378,BA378)</f>
        <v>0</v>
      </c>
      <c r="BE378" s="31">
        <v>3.75</v>
      </c>
      <c r="BF378" s="30" t="s">
        <v>57</v>
      </c>
      <c r="BG378" s="31">
        <f>BE378*Q378</f>
        <v>0</v>
      </c>
      <c r="BH378" s="31">
        <f>BE378*R378*0.4</f>
        <v>0</v>
      </c>
      <c r="BI378" s="142"/>
      <c r="BJ378" s="142"/>
      <c r="BK378" s="32">
        <f>Y378*BE378</f>
        <v>0</v>
      </c>
      <c r="BL378" s="25"/>
      <c r="BM378" s="25"/>
      <c r="BN378" s="25"/>
      <c r="BO378" s="25"/>
      <c r="BP378" s="25">
        <f>BE378*AV378</f>
        <v>0</v>
      </c>
      <c r="BQ378" s="25">
        <f>BE378*AX378</f>
        <v>0</v>
      </c>
      <c r="BR378" s="26"/>
      <c r="BS378" s="32"/>
    </row>
    <row r="379" spans="1:71" s="6" customFormat="1" ht="41.25" customHeight="1">
      <c r="A379" s="18">
        <v>376</v>
      </c>
      <c r="B379" s="18" t="s">
        <v>94</v>
      </c>
      <c r="C379" s="18" t="s">
        <v>132</v>
      </c>
      <c r="D379" s="18" t="s">
        <v>96</v>
      </c>
      <c r="E379" s="20" t="s">
        <v>726</v>
      </c>
      <c r="F379" s="52" t="s">
        <v>123</v>
      </c>
      <c r="G379" s="52"/>
      <c r="H379" s="22"/>
      <c r="I379" s="22"/>
      <c r="J379" s="22"/>
      <c r="K379" s="22"/>
      <c r="L379" s="20" t="s">
        <v>53</v>
      </c>
      <c r="M379" s="22"/>
      <c r="N379" s="22" t="s">
        <v>727</v>
      </c>
      <c r="O379" s="23"/>
      <c r="P379" s="18" t="s">
        <v>56</v>
      </c>
      <c r="Q379" s="72"/>
      <c r="R379" s="72"/>
      <c r="S379" s="25">
        <v>60</v>
      </c>
      <c r="T379" s="26"/>
      <c r="U379" s="26"/>
      <c r="V379" s="25">
        <v>60</v>
      </c>
      <c r="W379" s="26"/>
      <c r="X379" s="25">
        <v>60</v>
      </c>
      <c r="Y379" s="26">
        <f>T379+R379+Q379+U379+W379</f>
        <v>0</v>
      </c>
      <c r="Z379" s="27">
        <v>420</v>
      </c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>
        <f>SUM(AM379:AS379)</f>
        <v>0</v>
      </c>
      <c r="AM379" s="26"/>
      <c r="AN379" s="26"/>
      <c r="AO379" s="26"/>
      <c r="AP379" s="26"/>
      <c r="AQ379" s="26"/>
      <c r="AR379" s="26"/>
      <c r="AS379" s="26"/>
      <c r="AT379" s="28"/>
      <c r="AU379" s="28"/>
      <c r="AV379" s="26"/>
      <c r="AW379" s="26"/>
      <c r="AX379" s="28"/>
      <c r="AY379" s="72">
        <f>Y379-AV379-AX379-AW379</f>
        <v>0</v>
      </c>
      <c r="AZ379" s="68"/>
      <c r="BA379" s="26">
        <f>AL379+AG379+AA379+AT379</f>
        <v>0</v>
      </c>
      <c r="BB379" s="30">
        <f>BD379+AO379+AG379</f>
        <v>0</v>
      </c>
      <c r="BC379" s="30">
        <f>BD379+AS379</f>
        <v>0</v>
      </c>
      <c r="BD379" s="30">
        <f>IF(BA379&gt;0,Y379-BA379,BA379)</f>
        <v>0</v>
      </c>
      <c r="BE379" s="31">
        <v>5</v>
      </c>
      <c r="BF379" s="30" t="s">
        <v>57</v>
      </c>
      <c r="BG379" s="31">
        <f>BE379*Q379</f>
        <v>0</v>
      </c>
      <c r="BH379" s="31">
        <f>BE379*R379*0.4</f>
        <v>0</v>
      </c>
      <c r="BI379" s="142"/>
      <c r="BJ379" s="142"/>
      <c r="BK379" s="32">
        <f>Y379*BE379</f>
        <v>0</v>
      </c>
      <c r="BL379" s="25">
        <v>60</v>
      </c>
      <c r="BM379" s="25">
        <v>60</v>
      </c>
      <c r="BN379" s="25">
        <v>60</v>
      </c>
      <c r="BO379" s="25">
        <v>60</v>
      </c>
      <c r="BP379" s="25">
        <f>BE379*AV379</f>
        <v>0</v>
      </c>
      <c r="BQ379" s="25">
        <f>BE379*AX379</f>
        <v>0</v>
      </c>
      <c r="BR379" s="26"/>
      <c r="BS379" s="32"/>
    </row>
    <row r="380" spans="1:71" s="6" customFormat="1" ht="41.25" customHeight="1">
      <c r="A380" s="18">
        <v>377</v>
      </c>
      <c r="B380" s="18" t="s">
        <v>94</v>
      </c>
      <c r="C380" s="18" t="s">
        <v>215</v>
      </c>
      <c r="D380" s="18" t="s">
        <v>96</v>
      </c>
      <c r="E380" s="20" t="s">
        <v>579</v>
      </c>
      <c r="F380" s="21" t="s">
        <v>52</v>
      </c>
      <c r="G380" s="21"/>
      <c r="H380" s="22"/>
      <c r="I380" s="22"/>
      <c r="J380" s="22"/>
      <c r="K380" s="22"/>
      <c r="L380" s="20" t="s">
        <v>53</v>
      </c>
      <c r="M380" s="22"/>
      <c r="N380" s="22" t="s">
        <v>731</v>
      </c>
      <c r="O380" s="23" t="s">
        <v>732</v>
      </c>
      <c r="P380" s="18" t="s">
        <v>56</v>
      </c>
      <c r="Q380" s="72"/>
      <c r="R380" s="72"/>
      <c r="S380" s="25"/>
      <c r="T380" s="26"/>
      <c r="U380" s="26"/>
      <c r="V380" s="25"/>
      <c r="W380" s="26"/>
      <c r="X380" s="25"/>
      <c r="Y380" s="26">
        <f>T380+R380+Q380+U380+W380</f>
        <v>0</v>
      </c>
      <c r="Z380" s="27">
        <v>200</v>
      </c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>
        <f>SUM(AM380:AS380)</f>
        <v>0</v>
      </c>
      <c r="AM380" s="26"/>
      <c r="AN380" s="26"/>
      <c r="AO380" s="26"/>
      <c r="AP380" s="26"/>
      <c r="AQ380" s="26"/>
      <c r="AR380" s="26"/>
      <c r="AS380" s="26"/>
      <c r="AT380" s="28"/>
      <c r="AU380" s="28"/>
      <c r="AV380" s="26"/>
      <c r="AW380" s="26"/>
      <c r="AX380" s="28"/>
      <c r="AY380" s="72">
        <f>Y380-AV380-AX380-AW380</f>
        <v>0</v>
      </c>
      <c r="AZ380" s="68"/>
      <c r="BA380" s="26">
        <f>AL380+AG380+AA380+AT380</f>
        <v>0</v>
      </c>
      <c r="BB380" s="30">
        <f>BD380+AO380+AG380</f>
        <v>0</v>
      </c>
      <c r="BC380" s="30">
        <f>BD380+AS380</f>
        <v>0</v>
      </c>
      <c r="BD380" s="30">
        <f>IF(BA380&gt;0,Y380-BA380,BA380)</f>
        <v>0</v>
      </c>
      <c r="BE380" s="31"/>
      <c r="BF380" s="30" t="s">
        <v>57</v>
      </c>
      <c r="BG380" s="31">
        <f>BE380*Q380</f>
        <v>0</v>
      </c>
      <c r="BH380" s="31">
        <f>BE380*R380*0.4</f>
        <v>0</v>
      </c>
      <c r="BI380" s="142"/>
      <c r="BJ380" s="142"/>
      <c r="BK380" s="32">
        <f>Y380*BE380</f>
        <v>0</v>
      </c>
      <c r="BL380" s="25"/>
      <c r="BM380" s="25">
        <v>200</v>
      </c>
      <c r="BN380" s="25"/>
      <c r="BO380" s="25"/>
      <c r="BP380" s="25">
        <f>BE380*AV380</f>
        <v>0</v>
      </c>
      <c r="BQ380" s="25">
        <f>BE380*AX380</f>
        <v>0</v>
      </c>
      <c r="BR380" s="26"/>
      <c r="BS380" s="32"/>
    </row>
    <row r="381" spans="1:71" s="6" customFormat="1" ht="41.25" customHeight="1">
      <c r="A381" s="18">
        <v>378</v>
      </c>
      <c r="B381" s="18" t="s">
        <v>94</v>
      </c>
      <c r="C381" s="18" t="s">
        <v>209</v>
      </c>
      <c r="D381" s="18" t="s">
        <v>96</v>
      </c>
      <c r="E381" s="20" t="s">
        <v>437</v>
      </c>
      <c r="F381" s="18" t="s">
        <v>209</v>
      </c>
      <c r="G381" s="18"/>
      <c r="H381" s="22"/>
      <c r="I381" s="22"/>
      <c r="J381" s="22"/>
      <c r="K381" s="22"/>
      <c r="L381" s="20" t="s">
        <v>53</v>
      </c>
      <c r="M381" s="22"/>
      <c r="N381" s="22" t="s">
        <v>733</v>
      </c>
      <c r="O381" s="23"/>
      <c r="P381" s="18" t="s">
        <v>56</v>
      </c>
      <c r="Q381" s="72"/>
      <c r="R381" s="72"/>
      <c r="S381" s="25"/>
      <c r="T381" s="26"/>
      <c r="U381" s="84"/>
      <c r="V381" s="25"/>
      <c r="W381" s="26"/>
      <c r="X381" s="25"/>
      <c r="Y381" s="26">
        <f>T381+R381+Q381+U381+W381</f>
        <v>0</v>
      </c>
      <c r="Z381" s="27">
        <v>200</v>
      </c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>
        <f>SUM(AM381:AS381)</f>
        <v>0</v>
      </c>
      <c r="AM381" s="26"/>
      <c r="AN381" s="26"/>
      <c r="AO381" s="26"/>
      <c r="AP381" s="26"/>
      <c r="AQ381" s="26"/>
      <c r="AR381" s="26"/>
      <c r="AS381" s="26"/>
      <c r="AT381" s="28"/>
      <c r="AU381" s="28"/>
      <c r="AV381" s="26"/>
      <c r="AW381" s="26"/>
      <c r="AX381" s="28"/>
      <c r="AY381" s="72">
        <f>Y381-AV381-AX381-AW381</f>
        <v>0</v>
      </c>
      <c r="AZ381" s="68"/>
      <c r="BA381" s="26">
        <f>AL381+AG381+AA381+AT381</f>
        <v>0</v>
      </c>
      <c r="BB381" s="30">
        <f>BD381+AO381+AG381</f>
        <v>0</v>
      </c>
      <c r="BC381" s="30">
        <f>BD381+AS381</f>
        <v>0</v>
      </c>
      <c r="BD381" s="30">
        <f>IF(BA381&gt;0,Y381-BA381,BA381)</f>
        <v>0</v>
      </c>
      <c r="BE381" s="31"/>
      <c r="BF381" s="30" t="s">
        <v>57</v>
      </c>
      <c r="BG381" s="31">
        <f>BE381*Q381</f>
        <v>0</v>
      </c>
      <c r="BH381" s="31">
        <f>BE381*R381*0.4</f>
        <v>0</v>
      </c>
      <c r="BI381" s="142"/>
      <c r="BJ381" s="142"/>
      <c r="BK381" s="32">
        <f>Y381*BE381</f>
        <v>0</v>
      </c>
      <c r="BL381" s="25"/>
      <c r="BM381" s="25"/>
      <c r="BN381" s="25"/>
      <c r="BO381" s="25">
        <v>200</v>
      </c>
      <c r="BP381" s="25">
        <f>BE381*AV381</f>
        <v>0</v>
      </c>
      <c r="BQ381" s="25">
        <f>BE381*AX381</f>
        <v>0</v>
      </c>
      <c r="BR381" s="26"/>
      <c r="BS381" s="32"/>
    </row>
    <row r="382" spans="1:71" s="6" customFormat="1" ht="41.25" customHeight="1">
      <c r="A382" s="18">
        <v>379</v>
      </c>
      <c r="B382" s="18" t="s">
        <v>87</v>
      </c>
      <c r="C382" s="18" t="s">
        <v>88</v>
      </c>
      <c r="D382" s="47" t="s">
        <v>89</v>
      </c>
      <c r="E382" s="22" t="s">
        <v>619</v>
      </c>
      <c r="F382" s="36" t="s">
        <v>70</v>
      </c>
      <c r="G382" s="36"/>
      <c r="H382" s="22"/>
      <c r="I382" s="37" t="s">
        <v>362</v>
      </c>
      <c r="J382" s="37"/>
      <c r="K382" s="37"/>
      <c r="L382" s="22"/>
      <c r="M382" s="22"/>
      <c r="N382" s="22" t="s">
        <v>741</v>
      </c>
      <c r="O382" s="23" t="s">
        <v>742</v>
      </c>
      <c r="P382" s="18" t="s">
        <v>56</v>
      </c>
      <c r="Q382" s="72"/>
      <c r="R382" s="72"/>
      <c r="S382" s="25">
        <v>5</v>
      </c>
      <c r="T382" s="26"/>
      <c r="U382" s="26"/>
      <c r="V382" s="25">
        <v>5</v>
      </c>
      <c r="W382" s="26"/>
      <c r="X382" s="25"/>
      <c r="Y382" s="26">
        <f>T382+R382+Q382+U382+W382</f>
        <v>0</v>
      </c>
      <c r="Z382" s="27">
        <v>5</v>
      </c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>
        <f>SUM(AM382:AS382)</f>
        <v>0</v>
      </c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72">
        <f>Y382-AV382-AX382-AW382</f>
        <v>0</v>
      </c>
      <c r="AZ382" s="68"/>
      <c r="BA382" s="26">
        <f>AL382+AG382+AA382+AT382</f>
        <v>0</v>
      </c>
      <c r="BB382" s="30">
        <f>BD382+AO382+AG382</f>
        <v>0</v>
      </c>
      <c r="BC382" s="30">
        <f>BD382+AS382</f>
        <v>0</v>
      </c>
      <c r="BD382" s="30">
        <f>IF(BA382&gt;0,Y382-BA382,BA382)</f>
        <v>0</v>
      </c>
      <c r="BE382" s="31">
        <v>690</v>
      </c>
      <c r="BF382" s="30" t="s">
        <v>57</v>
      </c>
      <c r="BG382" s="31">
        <f>BE382*Q382</f>
        <v>0</v>
      </c>
      <c r="BH382" s="31">
        <f>BE382*R382*0.4</f>
        <v>0</v>
      </c>
      <c r="BI382" s="31"/>
      <c r="BJ382" s="31"/>
      <c r="BK382" s="32">
        <f>Y382*BE382</f>
        <v>0</v>
      </c>
      <c r="BL382" s="25"/>
      <c r="BM382" s="25"/>
      <c r="BN382" s="25"/>
      <c r="BO382" s="25"/>
      <c r="BP382" s="25">
        <f>BE382*AV382</f>
        <v>0</v>
      </c>
      <c r="BQ382" s="25">
        <f>BE382*AX382</f>
        <v>0</v>
      </c>
      <c r="BR382" s="26"/>
      <c r="BS382" s="32"/>
    </row>
    <row r="383" spans="1:71" s="6" customFormat="1" ht="41.25" customHeight="1">
      <c r="A383" s="18">
        <v>380</v>
      </c>
      <c r="B383" s="18" t="s">
        <v>58</v>
      </c>
      <c r="C383" s="18" t="s">
        <v>259</v>
      </c>
      <c r="D383" s="21" t="s">
        <v>50</v>
      </c>
      <c r="E383" s="20" t="s">
        <v>736</v>
      </c>
      <c r="F383" s="52" t="s">
        <v>123</v>
      </c>
      <c r="G383" s="52"/>
      <c r="H383" s="22">
        <v>200</v>
      </c>
      <c r="I383" s="22">
        <v>200</v>
      </c>
      <c r="J383" s="22"/>
      <c r="K383" s="22"/>
      <c r="L383" s="20" t="s">
        <v>53</v>
      </c>
      <c r="M383" s="22"/>
      <c r="N383" s="22" t="s">
        <v>744</v>
      </c>
      <c r="O383" s="23" t="s">
        <v>745</v>
      </c>
      <c r="P383" s="18" t="s">
        <v>56</v>
      </c>
      <c r="Q383" s="72"/>
      <c r="R383" s="72"/>
      <c r="S383" s="25">
        <v>260</v>
      </c>
      <c r="T383" s="26"/>
      <c r="U383" s="26"/>
      <c r="V383" s="25">
        <v>260</v>
      </c>
      <c r="W383" s="26"/>
      <c r="X383" s="25">
        <v>156</v>
      </c>
      <c r="Y383" s="26">
        <f>T383+R383+Q383+U383+W383</f>
        <v>0</v>
      </c>
      <c r="Z383" s="27">
        <v>1300</v>
      </c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>
        <f>SUM(AM383:AS383)</f>
        <v>0</v>
      </c>
      <c r="AM383" s="26"/>
      <c r="AN383" s="26"/>
      <c r="AO383" s="26"/>
      <c r="AP383" s="26"/>
      <c r="AQ383" s="26"/>
      <c r="AR383" s="26"/>
      <c r="AS383" s="26"/>
      <c r="AT383" s="28"/>
      <c r="AU383" s="28"/>
      <c r="AV383" s="26"/>
      <c r="AW383" s="26"/>
      <c r="AX383" s="28"/>
      <c r="AY383" s="72">
        <f>Y383-AV383-AX383-AW383</f>
        <v>0</v>
      </c>
      <c r="AZ383" s="68"/>
      <c r="BA383" s="26">
        <f>AL383+AG383+AA383+AT383</f>
        <v>0</v>
      </c>
      <c r="BB383" s="30">
        <f>BD383+AO383+AG383</f>
        <v>0</v>
      </c>
      <c r="BC383" s="30">
        <f>BD383+AS383</f>
        <v>0</v>
      </c>
      <c r="BD383" s="30">
        <f>IF(BA383&gt;0,Y383-BA383,BA383)</f>
        <v>0</v>
      </c>
      <c r="BE383" s="31">
        <v>7</v>
      </c>
      <c r="BF383" s="30" t="s">
        <v>57</v>
      </c>
      <c r="BG383" s="31">
        <f>BE383*Q383</f>
        <v>0</v>
      </c>
      <c r="BH383" s="31">
        <f>BE383*R383*0.4</f>
        <v>0</v>
      </c>
      <c r="BI383" s="142"/>
      <c r="BJ383" s="142"/>
      <c r="BK383" s="32">
        <f>Y383*BE383</f>
        <v>0</v>
      </c>
      <c r="BL383" s="25">
        <v>156</v>
      </c>
      <c r="BM383" s="25">
        <v>156</v>
      </c>
      <c r="BN383" s="25">
        <v>156</v>
      </c>
      <c r="BO383" s="25">
        <v>156</v>
      </c>
      <c r="BP383" s="25">
        <f>BE383*AV383</f>
        <v>0</v>
      </c>
      <c r="BQ383" s="25">
        <f>BE383*AX383</f>
        <v>0</v>
      </c>
      <c r="BR383" s="26"/>
      <c r="BS383" s="32"/>
    </row>
    <row r="384" spans="1:71" s="6" customFormat="1" ht="41.25" customHeight="1">
      <c r="A384" s="18">
        <v>381</v>
      </c>
      <c r="B384" s="18" t="s">
        <v>87</v>
      </c>
      <c r="C384" s="65" t="s">
        <v>125</v>
      </c>
      <c r="D384" s="47" t="s">
        <v>89</v>
      </c>
      <c r="E384" s="20" t="s">
        <v>719</v>
      </c>
      <c r="F384" s="21" t="s">
        <v>344</v>
      </c>
      <c r="G384" s="21"/>
      <c r="H384" s="22"/>
      <c r="I384" s="22" t="s">
        <v>345</v>
      </c>
      <c r="J384" s="22"/>
      <c r="K384" s="22"/>
      <c r="L384" s="20" t="s">
        <v>53</v>
      </c>
      <c r="M384" s="22"/>
      <c r="N384" s="22" t="s">
        <v>744</v>
      </c>
      <c r="O384" s="23" t="s">
        <v>745</v>
      </c>
      <c r="P384" s="18" t="s">
        <v>56</v>
      </c>
      <c r="Q384" s="72"/>
      <c r="R384" s="72"/>
      <c r="S384" s="25">
        <v>200</v>
      </c>
      <c r="T384" s="26"/>
      <c r="U384" s="26"/>
      <c r="V384" s="25"/>
      <c r="W384" s="26"/>
      <c r="X384" s="25"/>
      <c r="Y384" s="26">
        <f>T384+R384+Q384+U384+W384</f>
        <v>0</v>
      </c>
      <c r="Z384" s="27">
        <v>200</v>
      </c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>
        <f>SUM(AM384:AS384)</f>
        <v>0</v>
      </c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72">
        <f>Y384-AV384-AX384-AW384</f>
        <v>0</v>
      </c>
      <c r="AZ384" s="68"/>
      <c r="BA384" s="26">
        <f>AL384+AG384+AA384+AT384</f>
        <v>0</v>
      </c>
      <c r="BB384" s="30">
        <f>BD384+AO384+AG384</f>
        <v>0</v>
      </c>
      <c r="BC384" s="30">
        <f>BD384+AS384</f>
        <v>0</v>
      </c>
      <c r="BD384" s="30">
        <f>IF(BA384&gt;0,Y384-BA384,BA384)</f>
        <v>0</v>
      </c>
      <c r="BE384" s="31">
        <v>3.75</v>
      </c>
      <c r="BF384" s="30" t="s">
        <v>57</v>
      </c>
      <c r="BG384" s="31">
        <f>BE384*Q384</f>
        <v>0</v>
      </c>
      <c r="BH384" s="31">
        <f>BE384*R384*0.4</f>
        <v>0</v>
      </c>
      <c r="BI384" s="142"/>
      <c r="BJ384" s="142"/>
      <c r="BK384" s="32">
        <f>Y384*BE384</f>
        <v>0</v>
      </c>
      <c r="BL384" s="25"/>
      <c r="BM384" s="25"/>
      <c r="BN384" s="25"/>
      <c r="BO384" s="25"/>
      <c r="BP384" s="25">
        <f>BE384*AV384</f>
        <v>0</v>
      </c>
      <c r="BQ384" s="25">
        <f>BE384*AX384</f>
        <v>0</v>
      </c>
      <c r="BR384" s="26"/>
      <c r="BS384" s="32"/>
    </row>
    <row r="385" spans="1:71" s="6" customFormat="1" ht="41.25" customHeight="1">
      <c r="A385" s="18">
        <v>382</v>
      </c>
      <c r="B385" s="18" t="s">
        <v>94</v>
      </c>
      <c r="C385" s="18" t="s">
        <v>121</v>
      </c>
      <c r="D385" s="18" t="s">
        <v>96</v>
      </c>
      <c r="E385" s="22" t="s">
        <v>749</v>
      </c>
      <c r="F385" s="52" t="s">
        <v>123</v>
      </c>
      <c r="G385" s="52"/>
      <c r="H385" s="22"/>
      <c r="I385" s="22"/>
      <c r="J385" s="22"/>
      <c r="K385" s="22"/>
      <c r="L385" s="22"/>
      <c r="M385" s="22"/>
      <c r="N385" s="22" t="s">
        <v>750</v>
      </c>
      <c r="O385" s="23"/>
      <c r="P385" s="18" t="s">
        <v>56</v>
      </c>
      <c r="Q385" s="72"/>
      <c r="R385" s="72"/>
      <c r="S385" s="25">
        <v>40</v>
      </c>
      <c r="T385" s="26"/>
      <c r="U385" s="26"/>
      <c r="V385" s="25">
        <v>40</v>
      </c>
      <c r="W385" s="26"/>
      <c r="X385" s="25">
        <v>40</v>
      </c>
      <c r="Y385" s="26">
        <f>T385+R385+Q385+U385+W385</f>
        <v>0</v>
      </c>
      <c r="Z385" s="27">
        <v>280</v>
      </c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>
        <f>SUM(AM385:AS385)</f>
        <v>0</v>
      </c>
      <c r="AM385" s="26"/>
      <c r="AN385" s="26"/>
      <c r="AO385" s="26"/>
      <c r="AP385" s="26"/>
      <c r="AQ385" s="26"/>
      <c r="AR385" s="26"/>
      <c r="AS385" s="26"/>
      <c r="AT385" s="28"/>
      <c r="AU385" s="28"/>
      <c r="AV385" s="26"/>
      <c r="AW385" s="26"/>
      <c r="AX385" s="28"/>
      <c r="AY385" s="72">
        <f>Y385-AV385-AX385-AW385</f>
        <v>0</v>
      </c>
      <c r="AZ385" s="68"/>
      <c r="BA385" s="26">
        <f>AL385+AG385+AA385+AT385</f>
        <v>0</v>
      </c>
      <c r="BB385" s="30">
        <f>BD385+AO385+AG385</f>
        <v>0</v>
      </c>
      <c r="BC385" s="30">
        <f>BD385+AS385</f>
        <v>0</v>
      </c>
      <c r="BD385" s="30">
        <f>IF(BA385&gt;0,Y385-BA385,BA385)</f>
        <v>0</v>
      </c>
      <c r="BE385" s="31">
        <v>5</v>
      </c>
      <c r="BF385" s="30" t="s">
        <v>57</v>
      </c>
      <c r="BG385" s="31">
        <f>BE385*Q385</f>
        <v>0</v>
      </c>
      <c r="BH385" s="31">
        <f>BE385*R385*0.4</f>
        <v>0</v>
      </c>
      <c r="BI385" s="142"/>
      <c r="BJ385" s="142"/>
      <c r="BK385" s="32">
        <f>Y385*BE385</f>
        <v>0</v>
      </c>
      <c r="BL385" s="25">
        <v>40</v>
      </c>
      <c r="BM385" s="25">
        <v>40</v>
      </c>
      <c r="BN385" s="25">
        <v>40</v>
      </c>
      <c r="BO385" s="25">
        <v>40</v>
      </c>
      <c r="BP385" s="25">
        <f>BE385*AV385</f>
        <v>0</v>
      </c>
      <c r="BQ385" s="25">
        <f>BE385*AX385</f>
        <v>0</v>
      </c>
      <c r="BR385" s="26"/>
      <c r="BS385" s="32"/>
    </row>
    <row r="386" spans="1:71" s="6" customFormat="1" ht="41.25" customHeight="1">
      <c r="A386" s="18">
        <v>383</v>
      </c>
      <c r="B386" s="18" t="s">
        <v>94</v>
      </c>
      <c r="C386" s="18" t="s">
        <v>177</v>
      </c>
      <c r="D386" s="18" t="s">
        <v>96</v>
      </c>
      <c r="E386" s="22" t="s">
        <v>717</v>
      </c>
      <c r="F386" s="52" t="s">
        <v>123</v>
      </c>
      <c r="G386" s="52"/>
      <c r="H386" s="22"/>
      <c r="I386" s="22"/>
      <c r="J386" s="22"/>
      <c r="K386" s="22"/>
      <c r="L386" s="22"/>
      <c r="M386" s="22"/>
      <c r="N386" s="22" t="s">
        <v>756</v>
      </c>
      <c r="O386" s="23"/>
      <c r="P386" s="18" t="s">
        <v>56</v>
      </c>
      <c r="Q386" s="72"/>
      <c r="R386" s="72"/>
      <c r="S386" s="25">
        <v>20</v>
      </c>
      <c r="T386" s="26"/>
      <c r="U386" s="26"/>
      <c r="V386" s="25">
        <v>20</v>
      </c>
      <c r="W386" s="26"/>
      <c r="X386" s="25">
        <v>20</v>
      </c>
      <c r="Y386" s="26">
        <f>T386+R386+Q386+U386+W386</f>
        <v>0</v>
      </c>
      <c r="Z386" s="27">
        <v>140</v>
      </c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>
        <f>SUM(AM386:AS386)</f>
        <v>0</v>
      </c>
      <c r="AM386" s="26"/>
      <c r="AN386" s="26"/>
      <c r="AO386" s="26"/>
      <c r="AP386" s="26"/>
      <c r="AQ386" s="26"/>
      <c r="AR386" s="26"/>
      <c r="AS386" s="26"/>
      <c r="AT386" s="28"/>
      <c r="AU386" s="28"/>
      <c r="AV386" s="26"/>
      <c r="AW386" s="26"/>
      <c r="AX386" s="28"/>
      <c r="AY386" s="72">
        <f>Y386-AV386-AX386-AW386</f>
        <v>0</v>
      </c>
      <c r="AZ386" s="68"/>
      <c r="BA386" s="26">
        <f>AL386+AG386+AA386+AT386</f>
        <v>0</v>
      </c>
      <c r="BB386" s="30">
        <f>BD386+AO386+AG386</f>
        <v>0</v>
      </c>
      <c r="BC386" s="30">
        <f>BD386+AS386</f>
        <v>0</v>
      </c>
      <c r="BD386" s="30">
        <f>IF(BA386&gt;0,Y386-BA386,BA386)</f>
        <v>0</v>
      </c>
      <c r="BE386" s="31">
        <v>24</v>
      </c>
      <c r="BF386" s="30" t="s">
        <v>57</v>
      </c>
      <c r="BG386" s="31">
        <f>BE386*Q386</f>
        <v>0</v>
      </c>
      <c r="BH386" s="31">
        <f>BE386*R386*0.4</f>
        <v>0</v>
      </c>
      <c r="BI386" s="142"/>
      <c r="BJ386" s="142"/>
      <c r="BK386" s="32">
        <f>Y386*BE386</f>
        <v>0</v>
      </c>
      <c r="BL386" s="25">
        <v>20</v>
      </c>
      <c r="BM386" s="25">
        <v>20</v>
      </c>
      <c r="BN386" s="25">
        <v>20</v>
      </c>
      <c r="BO386" s="25">
        <v>20</v>
      </c>
      <c r="BP386" s="25">
        <f>BE386*AV386</f>
        <v>0</v>
      </c>
      <c r="BQ386" s="25">
        <f>BE386*AX386</f>
        <v>0</v>
      </c>
      <c r="BR386" s="26"/>
      <c r="BS386" s="32"/>
    </row>
    <row r="387" spans="1:71" s="6" customFormat="1" ht="41.25" customHeight="1">
      <c r="A387" s="18">
        <v>384</v>
      </c>
      <c r="B387" s="74" t="s">
        <v>94</v>
      </c>
      <c r="C387" s="44" t="s">
        <v>158</v>
      </c>
      <c r="D387" s="18" t="s">
        <v>96</v>
      </c>
      <c r="E387" s="55" t="s">
        <v>648</v>
      </c>
      <c r="F387" s="52" t="s">
        <v>123</v>
      </c>
      <c r="G387" s="52" t="s">
        <v>123</v>
      </c>
      <c r="H387" s="50"/>
      <c r="I387" s="50"/>
      <c r="J387" s="50"/>
      <c r="K387" s="50"/>
      <c r="L387" s="20" t="s">
        <v>53</v>
      </c>
      <c r="M387" s="22"/>
      <c r="N387" s="22" t="s">
        <v>757</v>
      </c>
      <c r="O387" s="23" t="s">
        <v>758</v>
      </c>
      <c r="P387" s="18" t="s">
        <v>56</v>
      </c>
      <c r="Q387" s="42"/>
      <c r="R387" s="72"/>
      <c r="S387" s="25"/>
      <c r="T387" s="26"/>
      <c r="U387" s="26"/>
      <c r="V387" s="25"/>
      <c r="W387" s="29">
        <v>3508</v>
      </c>
      <c r="X387" s="25"/>
      <c r="Y387" s="53">
        <f>T387+R387+Q387+U387+W387</f>
        <v>3508</v>
      </c>
      <c r="Z387" s="27">
        <v>200</v>
      </c>
      <c r="AA387" s="64">
        <f>SUBTOTAL(9,AB387:AF387)</f>
        <v>136</v>
      </c>
      <c r="AB387" s="64">
        <v>88</v>
      </c>
      <c r="AC387" s="26"/>
      <c r="AD387" s="26"/>
      <c r="AE387" s="26"/>
      <c r="AF387" s="64">
        <v>48</v>
      </c>
      <c r="AG387" s="26"/>
      <c r="AH387" s="26"/>
      <c r="AI387" s="26"/>
      <c r="AJ387" s="26"/>
      <c r="AK387" s="26"/>
      <c r="AL387" s="26">
        <f>SUM(AM387:AS387)</f>
        <v>0</v>
      </c>
      <c r="AM387" s="26"/>
      <c r="AN387" s="26"/>
      <c r="AO387" s="26"/>
      <c r="AP387" s="26"/>
      <c r="AQ387" s="26"/>
      <c r="AR387" s="26"/>
      <c r="AS387" s="26"/>
      <c r="AT387" s="28"/>
      <c r="AU387" s="28"/>
      <c r="AV387" s="26"/>
      <c r="AW387" s="82">
        <v>88</v>
      </c>
      <c r="AX387" s="28"/>
      <c r="AY387" s="29">
        <f>Y387-AV387-AX387-AW387</f>
        <v>3420</v>
      </c>
      <c r="AZ387" s="29">
        <f ca="1">'Layout for shadhous 1&amp;2'!F68</f>
        <v>3420</v>
      </c>
      <c r="BA387" s="26">
        <f>AL387+AG387+AA387+AT387</f>
        <v>136</v>
      </c>
      <c r="BB387" s="30">
        <f>BD387+AO387+AG387</f>
        <v>3372</v>
      </c>
      <c r="BC387" s="30">
        <f>BD387+AS387</f>
        <v>3372</v>
      </c>
      <c r="BD387" s="30">
        <f>IF(BA387&gt;0,Y387-BA387,BA387)</f>
        <v>3372</v>
      </c>
      <c r="BE387" s="31">
        <v>13</v>
      </c>
      <c r="BF387" s="30" t="s">
        <v>57</v>
      </c>
      <c r="BG387" s="31">
        <f>BE387*Q387</f>
        <v>0</v>
      </c>
      <c r="BH387" s="31">
        <f>BE387*R387*0.4</f>
        <v>0</v>
      </c>
      <c r="BI387" s="142"/>
      <c r="BJ387" s="142"/>
      <c r="BK387" s="32">
        <f>Y387*BE387</f>
        <v>45604</v>
      </c>
      <c r="BL387" s="25"/>
      <c r="BM387" s="25"/>
      <c r="BN387" s="25">
        <v>200</v>
      </c>
      <c r="BO387" s="25"/>
      <c r="BP387" s="25">
        <f>BE387*AV387</f>
        <v>0</v>
      </c>
      <c r="BQ387" s="25">
        <f>BE387*AX387</f>
        <v>0</v>
      </c>
      <c r="BR387" s="26"/>
      <c r="BS387" s="32"/>
    </row>
    <row r="388" spans="1:71" s="6" customFormat="1" ht="41.25" customHeight="1">
      <c r="A388" s="18">
        <v>385</v>
      </c>
      <c r="B388" s="18" t="s">
        <v>94</v>
      </c>
      <c r="C388" s="18" t="s">
        <v>209</v>
      </c>
      <c r="D388" s="18" t="s">
        <v>96</v>
      </c>
      <c r="E388" s="20" t="s">
        <v>437</v>
      </c>
      <c r="F388" s="18" t="s">
        <v>209</v>
      </c>
      <c r="G388" s="18"/>
      <c r="H388" s="22"/>
      <c r="I388" s="22"/>
      <c r="J388" s="22"/>
      <c r="K388" s="22"/>
      <c r="L388" s="20" t="s">
        <v>53</v>
      </c>
      <c r="M388" s="22"/>
      <c r="N388" s="22" t="s">
        <v>759</v>
      </c>
      <c r="O388" s="23"/>
      <c r="P388" s="18" t="s">
        <v>56</v>
      </c>
      <c r="Q388" s="72"/>
      <c r="R388" s="72"/>
      <c r="S388" s="25"/>
      <c r="T388" s="26"/>
      <c r="U388" s="26"/>
      <c r="V388" s="25">
        <v>200</v>
      </c>
      <c r="W388" s="26"/>
      <c r="X388" s="25"/>
      <c r="Y388" s="26">
        <f>T388+R388+Q388+U388+W388</f>
        <v>0</v>
      </c>
      <c r="Z388" s="27">
        <v>200</v>
      </c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>
        <f>SUM(AM388:AS388)</f>
        <v>0</v>
      </c>
      <c r="AM388" s="26"/>
      <c r="AN388" s="26"/>
      <c r="AO388" s="26"/>
      <c r="AP388" s="26"/>
      <c r="AQ388" s="26"/>
      <c r="AR388" s="26"/>
      <c r="AS388" s="26"/>
      <c r="AT388" s="28"/>
      <c r="AU388" s="28"/>
      <c r="AV388" s="26"/>
      <c r="AW388" s="26"/>
      <c r="AX388" s="28"/>
      <c r="AY388" s="72">
        <f>Y388-AV388-AX388-AW388</f>
        <v>0</v>
      </c>
      <c r="AZ388" s="68"/>
      <c r="BA388" s="26">
        <f>AL388+AG388+AA388+AT388</f>
        <v>0</v>
      </c>
      <c r="BB388" s="30">
        <f>BD388+AO388+AG388</f>
        <v>0</v>
      </c>
      <c r="BC388" s="30">
        <f>BD388+AS388</f>
        <v>0</v>
      </c>
      <c r="BD388" s="30">
        <f>IF(BA388&gt;0,Y388-BA388,BA388)</f>
        <v>0</v>
      </c>
      <c r="BE388" s="31"/>
      <c r="BF388" s="30" t="s">
        <v>57</v>
      </c>
      <c r="BG388" s="31">
        <f>BE388*Q388</f>
        <v>0</v>
      </c>
      <c r="BH388" s="31">
        <f>BE388*R388*0.4</f>
        <v>0</v>
      </c>
      <c r="BI388" s="31"/>
      <c r="BJ388" s="31"/>
      <c r="BK388" s="32">
        <f>Y388*BE388</f>
        <v>0</v>
      </c>
      <c r="BL388" s="25"/>
      <c r="BM388" s="25"/>
      <c r="BN388" s="25"/>
      <c r="BO388" s="25"/>
      <c r="BP388" s="25">
        <f>BE388*AV388</f>
        <v>0</v>
      </c>
      <c r="BQ388" s="25">
        <f>BE388*AX388</f>
        <v>0</v>
      </c>
      <c r="BR388" s="26"/>
      <c r="BS388" s="32"/>
    </row>
    <row r="389" spans="1:71" s="6" customFormat="1" ht="41.25" customHeight="1">
      <c r="A389" s="18">
        <v>386</v>
      </c>
      <c r="B389" s="18" t="s">
        <v>66</v>
      </c>
      <c r="C389" s="18" t="s">
        <v>139</v>
      </c>
      <c r="D389" s="56" t="s">
        <v>50</v>
      </c>
      <c r="E389" s="20" t="s">
        <v>728</v>
      </c>
      <c r="F389" s="60" t="s">
        <v>155</v>
      </c>
      <c r="G389" s="60"/>
      <c r="H389" s="22">
        <v>120</v>
      </c>
      <c r="I389" s="22">
        <v>200</v>
      </c>
      <c r="J389" s="22"/>
      <c r="K389" s="22"/>
      <c r="L389" s="20" t="s">
        <v>53</v>
      </c>
      <c r="M389" s="22"/>
      <c r="N389" s="22" t="s">
        <v>760</v>
      </c>
      <c r="O389" s="23"/>
      <c r="P389" s="18" t="s">
        <v>56</v>
      </c>
      <c r="Q389" s="72"/>
      <c r="R389" s="72"/>
      <c r="S389" s="25">
        <v>920</v>
      </c>
      <c r="T389" s="26"/>
      <c r="U389" s="26"/>
      <c r="V389" s="25">
        <v>920</v>
      </c>
      <c r="W389" s="26"/>
      <c r="X389" s="25">
        <v>552</v>
      </c>
      <c r="Y389" s="26">
        <f>T389+R389+Q389+U389+W389</f>
        <v>0</v>
      </c>
      <c r="Z389" s="27">
        <v>4600</v>
      </c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>
        <f>SUM(AM389:AS389)</f>
        <v>0</v>
      </c>
      <c r="AM389" s="26"/>
      <c r="AN389" s="26"/>
      <c r="AO389" s="26"/>
      <c r="AP389" s="26"/>
      <c r="AQ389" s="26"/>
      <c r="AR389" s="26"/>
      <c r="AS389" s="26"/>
      <c r="AT389" s="28"/>
      <c r="AU389" s="28"/>
      <c r="AV389" s="26"/>
      <c r="AW389" s="26"/>
      <c r="AX389" s="28"/>
      <c r="AY389" s="72">
        <f>Y389-AV389-AX389-AW389</f>
        <v>0</v>
      </c>
      <c r="AZ389" s="68"/>
      <c r="BA389" s="26">
        <f>AL389+AG389+AA389+AT389</f>
        <v>0</v>
      </c>
      <c r="BB389" s="30">
        <f>BD389+AO389+AG389</f>
        <v>0</v>
      </c>
      <c r="BC389" s="30">
        <f>BD389+AS389</f>
        <v>0</v>
      </c>
      <c r="BD389" s="30">
        <f>IF(BA389&gt;0,Y389-BA389,BA389)</f>
        <v>0</v>
      </c>
      <c r="BE389" s="31">
        <v>30</v>
      </c>
      <c r="BF389" s="30" t="s">
        <v>57</v>
      </c>
      <c r="BG389" s="31">
        <f>BE389*Q389</f>
        <v>0</v>
      </c>
      <c r="BH389" s="31">
        <f>BE389*R389*0.4</f>
        <v>0</v>
      </c>
      <c r="BI389" s="142"/>
      <c r="BJ389" s="142"/>
      <c r="BK389" s="32">
        <f>Y389*BE389</f>
        <v>0</v>
      </c>
      <c r="BL389" s="25">
        <v>552</v>
      </c>
      <c r="BM389" s="25">
        <v>552</v>
      </c>
      <c r="BN389" s="25">
        <v>552</v>
      </c>
      <c r="BO389" s="25">
        <v>552</v>
      </c>
      <c r="BP389" s="25">
        <f>BE389*AV389</f>
        <v>0</v>
      </c>
      <c r="BQ389" s="25">
        <f>BE389*AX389</f>
        <v>0</v>
      </c>
      <c r="BR389" s="26"/>
      <c r="BS389" s="32"/>
    </row>
    <row r="390" spans="1:71" s="6" customFormat="1" ht="41.25" customHeight="1">
      <c r="A390" s="18">
        <v>387</v>
      </c>
      <c r="B390" s="18" t="s">
        <v>94</v>
      </c>
      <c r="C390" s="18" t="s">
        <v>276</v>
      </c>
      <c r="D390" s="18" t="s">
        <v>96</v>
      </c>
      <c r="E390" s="20" t="s">
        <v>277</v>
      </c>
      <c r="F390" s="60" t="s">
        <v>155</v>
      </c>
      <c r="G390" s="60"/>
      <c r="H390" s="50"/>
      <c r="I390" s="50"/>
      <c r="J390" s="50"/>
      <c r="K390" s="50"/>
      <c r="L390" s="20" t="s">
        <v>53</v>
      </c>
      <c r="M390" s="22"/>
      <c r="N390" s="22" t="s">
        <v>761</v>
      </c>
      <c r="O390" s="23" t="s">
        <v>762</v>
      </c>
      <c r="P390" s="18" t="s">
        <v>56</v>
      </c>
      <c r="Q390" s="42"/>
      <c r="R390" s="72"/>
      <c r="S390" s="25"/>
      <c r="T390" s="26"/>
      <c r="U390" s="26"/>
      <c r="V390" s="25"/>
      <c r="W390" s="29">
        <v>150</v>
      </c>
      <c r="X390" s="25"/>
      <c r="Y390" s="53">
        <f>T390+R390+Q390+U390+W390</f>
        <v>150</v>
      </c>
      <c r="Z390" s="27">
        <v>200</v>
      </c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>
        <f>SUM(AM390:AS390)</f>
        <v>0</v>
      </c>
      <c r="AM390" s="26"/>
      <c r="AN390" s="26"/>
      <c r="AO390" s="26"/>
      <c r="AP390" s="26"/>
      <c r="AQ390" s="26"/>
      <c r="AR390" s="26"/>
      <c r="AS390" s="26"/>
      <c r="AT390" s="85"/>
      <c r="AU390" s="85"/>
      <c r="AV390" s="26"/>
      <c r="AW390" s="26"/>
      <c r="AX390" s="85"/>
      <c r="AY390" s="29">
        <f>Y390-AV390-AX390-AW390</f>
        <v>150</v>
      </c>
      <c r="AZ390" s="29"/>
      <c r="BA390" s="26">
        <f>AL390+AG390+AA390+AT390</f>
        <v>0</v>
      </c>
      <c r="BB390" s="30">
        <f>BD390+AO390+AG390</f>
        <v>0</v>
      </c>
      <c r="BC390" s="30">
        <f>BD390+AS390</f>
        <v>0</v>
      </c>
      <c r="BD390" s="30">
        <f>IF(BA390&gt;0,Y390-BA390,BA390)</f>
        <v>0</v>
      </c>
      <c r="BE390" s="31">
        <v>5</v>
      </c>
      <c r="BF390" s="30" t="s">
        <v>57</v>
      </c>
      <c r="BG390" s="31">
        <f>BE390*Q390</f>
        <v>0</v>
      </c>
      <c r="BH390" s="31">
        <f>BE390*R390*0.4</f>
        <v>0</v>
      </c>
      <c r="BI390" s="142"/>
      <c r="BJ390" s="142"/>
      <c r="BK390" s="32">
        <f>Y390*BE390</f>
        <v>750</v>
      </c>
      <c r="BL390" s="25">
        <v>200</v>
      </c>
      <c r="BM390" s="25"/>
      <c r="BN390" s="25"/>
      <c r="BO390" s="25"/>
      <c r="BP390" s="25">
        <f>BE390*AV390</f>
        <v>0</v>
      </c>
      <c r="BQ390" s="25">
        <f>BE390*AX390</f>
        <v>0</v>
      </c>
      <c r="BR390" s="26"/>
      <c r="BS390" s="32"/>
    </row>
    <row r="391" spans="1:71" s="6" customFormat="1" ht="41.25" customHeight="1">
      <c r="A391" s="18">
        <v>388</v>
      </c>
      <c r="B391" s="18" t="s">
        <v>58</v>
      </c>
      <c r="C391" s="33" t="s">
        <v>59</v>
      </c>
      <c r="D391" s="34" t="s">
        <v>60</v>
      </c>
      <c r="E391" s="20" t="s">
        <v>766</v>
      </c>
      <c r="F391" s="34" t="s">
        <v>62</v>
      </c>
      <c r="G391" s="22"/>
      <c r="H391" s="22"/>
      <c r="I391" s="22"/>
      <c r="J391" s="22"/>
      <c r="K391" s="22"/>
      <c r="L391" s="20" t="s">
        <v>53</v>
      </c>
      <c r="M391" s="22"/>
      <c r="N391" s="22" t="s">
        <v>767</v>
      </c>
      <c r="O391" s="23" t="s">
        <v>768</v>
      </c>
      <c r="P391" s="18" t="s">
        <v>65</v>
      </c>
      <c r="Q391" s="72"/>
      <c r="R391" s="72"/>
      <c r="S391" s="35">
        <v>30</v>
      </c>
      <c r="T391" s="26"/>
      <c r="U391" s="26"/>
      <c r="V391" s="35">
        <v>30</v>
      </c>
      <c r="W391" s="154"/>
      <c r="X391" s="35">
        <v>30</v>
      </c>
      <c r="Y391" s="26">
        <f>T391+R391+Q391+U391+W391</f>
        <v>0</v>
      </c>
      <c r="Z391" s="27">
        <v>210</v>
      </c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>
        <f>SUM(AM391:AS391)</f>
        <v>0</v>
      </c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72">
        <f>Y391-AV391-AX391-AW391</f>
        <v>0</v>
      </c>
      <c r="AZ391" s="68"/>
      <c r="BA391" s="26">
        <f>AL391+AG391+AA391+AT391</f>
        <v>0</v>
      </c>
      <c r="BB391" s="30">
        <f>BD391+AO391+AG391</f>
        <v>0</v>
      </c>
      <c r="BC391" s="30">
        <f>BD391+AS391</f>
        <v>0</v>
      </c>
      <c r="BD391" s="30">
        <f>IF(BA391&gt;0,Y391-BA391,BA391)</f>
        <v>0</v>
      </c>
      <c r="BE391" s="31">
        <v>374</v>
      </c>
      <c r="BF391" s="30" t="s">
        <v>57</v>
      </c>
      <c r="BG391" s="31">
        <f>BE391*Q391</f>
        <v>0</v>
      </c>
      <c r="BH391" s="31">
        <f>BE391*R391*0.4</f>
        <v>0</v>
      </c>
      <c r="BI391" s="31"/>
      <c r="BJ391" s="31"/>
      <c r="BK391" s="32">
        <f>Y391*BE391</f>
        <v>0</v>
      </c>
      <c r="BL391" s="35">
        <v>30</v>
      </c>
      <c r="BM391" s="35">
        <v>30</v>
      </c>
      <c r="BN391" s="35">
        <v>30</v>
      </c>
      <c r="BO391" s="35">
        <v>30</v>
      </c>
      <c r="BP391" s="25">
        <f>BE391*AV391</f>
        <v>0</v>
      </c>
      <c r="BQ391" s="25">
        <f>BE391*AX391</f>
        <v>0</v>
      </c>
      <c r="BR391" s="26"/>
      <c r="BS391" s="32"/>
    </row>
    <row r="392" spans="1:71" s="6" customFormat="1" ht="41.25" customHeight="1">
      <c r="A392" s="18">
        <v>389</v>
      </c>
      <c r="B392" s="18" t="s">
        <v>87</v>
      </c>
      <c r="C392" s="18" t="s">
        <v>88</v>
      </c>
      <c r="D392" s="47" t="s">
        <v>89</v>
      </c>
      <c r="E392" s="20" t="s">
        <v>773</v>
      </c>
      <c r="F392" s="36" t="s">
        <v>70</v>
      </c>
      <c r="G392" s="36"/>
      <c r="H392" s="22"/>
      <c r="I392" s="37" t="s">
        <v>774</v>
      </c>
      <c r="J392" s="37"/>
      <c r="K392" s="37"/>
      <c r="L392" s="20" t="s">
        <v>53</v>
      </c>
      <c r="M392" s="22"/>
      <c r="N392" s="22" t="s">
        <v>775</v>
      </c>
      <c r="O392" s="23" t="s">
        <v>776</v>
      </c>
      <c r="P392" s="18" t="s">
        <v>56</v>
      </c>
      <c r="Q392" s="72"/>
      <c r="R392" s="72"/>
      <c r="S392" s="25">
        <v>5</v>
      </c>
      <c r="T392" s="26"/>
      <c r="U392" s="26"/>
      <c r="V392" s="25"/>
      <c r="W392" s="26"/>
      <c r="X392" s="25"/>
      <c r="Y392" s="26">
        <f>T392+R392+Q392+U392+W392</f>
        <v>0</v>
      </c>
      <c r="Z392" s="27">
        <v>5</v>
      </c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>
        <f>SUM(AM392:AS392)</f>
        <v>0</v>
      </c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72">
        <f>Y392-AV392-AX392-AW392</f>
        <v>0</v>
      </c>
      <c r="AZ392" s="68"/>
      <c r="BA392" s="26">
        <f>AL392+AG392+AA392+AT392</f>
        <v>0</v>
      </c>
      <c r="BB392" s="30">
        <f>BD392+AO392+AG392</f>
        <v>0</v>
      </c>
      <c r="BC392" s="30">
        <f>BD392+AS392</f>
        <v>0</v>
      </c>
      <c r="BD392" s="30">
        <f>IF(BA392&gt;0,Y392-BA392,BA392)</f>
        <v>0</v>
      </c>
      <c r="BE392" s="31">
        <v>690</v>
      </c>
      <c r="BF392" s="30" t="s">
        <v>57</v>
      </c>
      <c r="BG392" s="31">
        <f>BE392*Q392</f>
        <v>0</v>
      </c>
      <c r="BH392" s="31">
        <f>BE392*R392*0.4</f>
        <v>0</v>
      </c>
      <c r="BI392" s="31"/>
      <c r="BJ392" s="31"/>
      <c r="BK392" s="32">
        <f>Y392*BE392</f>
        <v>0</v>
      </c>
      <c r="BL392" s="25"/>
      <c r="BM392" s="25"/>
      <c r="BN392" s="25"/>
      <c r="BO392" s="25"/>
      <c r="BP392" s="25">
        <f>BE392*AV392</f>
        <v>0</v>
      </c>
      <c r="BQ392" s="25">
        <f>BE392*AX392</f>
        <v>0</v>
      </c>
      <c r="BR392" s="26"/>
      <c r="BS392" s="32"/>
    </row>
    <row r="393" spans="1:71" s="6" customFormat="1" ht="41.25" customHeight="1">
      <c r="A393" s="18">
        <v>390</v>
      </c>
      <c r="B393" s="50" t="s">
        <v>94</v>
      </c>
      <c r="C393" s="44" t="s">
        <v>215</v>
      </c>
      <c r="D393" s="18" t="s">
        <v>96</v>
      </c>
      <c r="E393" s="55" t="s">
        <v>579</v>
      </c>
      <c r="F393" s="21" t="s">
        <v>52</v>
      </c>
      <c r="G393" s="21"/>
      <c r="H393" s="50"/>
      <c r="I393" s="50"/>
      <c r="J393" s="50"/>
      <c r="K393" s="50"/>
      <c r="L393" s="20" t="s">
        <v>53</v>
      </c>
      <c r="M393" s="22"/>
      <c r="N393" s="22" t="s">
        <v>777</v>
      </c>
      <c r="O393" s="23" t="s">
        <v>778</v>
      </c>
      <c r="P393" s="18" t="s">
        <v>56</v>
      </c>
      <c r="Q393" s="72"/>
      <c r="R393" s="72"/>
      <c r="S393" s="25"/>
      <c r="T393" s="26"/>
      <c r="U393" s="26"/>
      <c r="V393" s="25"/>
      <c r="W393" s="29">
        <v>175</v>
      </c>
      <c r="X393" s="25"/>
      <c r="Y393" s="53">
        <f>T393+R393+Q393+U393+W393</f>
        <v>175</v>
      </c>
      <c r="Z393" s="27">
        <v>200</v>
      </c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>
        <f>SUM(AM393:AS393)</f>
        <v>0</v>
      </c>
      <c r="AM393" s="26"/>
      <c r="AN393" s="26"/>
      <c r="AO393" s="26"/>
      <c r="AP393" s="26"/>
      <c r="AQ393" s="26"/>
      <c r="AR393" s="26"/>
      <c r="AS393" s="26"/>
      <c r="AT393" s="28"/>
      <c r="AU393" s="28"/>
      <c r="AV393" s="26"/>
      <c r="AW393" s="26"/>
      <c r="AX393" s="28"/>
      <c r="AY393" s="29">
        <f>Y393-AV393-AX393-AW393</f>
        <v>175</v>
      </c>
      <c r="AZ393" s="29"/>
      <c r="BA393" s="26">
        <f>AL393+AG393+AA393+AT393</f>
        <v>0</v>
      </c>
      <c r="BB393" s="30">
        <f>BD393+AO393+AG393</f>
        <v>0</v>
      </c>
      <c r="BC393" s="30">
        <f>BD393+AS393</f>
        <v>0</v>
      </c>
      <c r="BD393" s="30">
        <f>IF(BA393&gt;0,Y393-BA393,BA393)</f>
        <v>0</v>
      </c>
      <c r="BE393" s="31">
        <v>6</v>
      </c>
      <c r="BF393" s="30" t="s">
        <v>57</v>
      </c>
      <c r="BG393" s="31">
        <f>BE393*Q393</f>
        <v>0</v>
      </c>
      <c r="BH393" s="31">
        <f>BE393*R393*0.4</f>
        <v>0</v>
      </c>
      <c r="BI393" s="31"/>
      <c r="BJ393" s="31"/>
      <c r="BK393" s="32">
        <f>Y393*BE393</f>
        <v>1050</v>
      </c>
      <c r="BL393" s="25"/>
      <c r="BM393" s="25"/>
      <c r="BN393" s="25">
        <v>200</v>
      </c>
      <c r="BO393" s="25"/>
      <c r="BP393" s="25">
        <f>BE393*AV393</f>
        <v>0</v>
      </c>
      <c r="BQ393" s="25">
        <f>BE393*AX393</f>
        <v>0</v>
      </c>
      <c r="BR393" s="26">
        <v>58</v>
      </c>
      <c r="BS393" s="32"/>
    </row>
    <row r="394" spans="1:71" s="6" customFormat="1" ht="41.25" customHeight="1">
      <c r="A394" s="18">
        <v>391</v>
      </c>
      <c r="B394" s="18" t="s">
        <v>94</v>
      </c>
      <c r="C394" s="18" t="s">
        <v>166</v>
      </c>
      <c r="D394" s="18" t="s">
        <v>96</v>
      </c>
      <c r="E394" s="22" t="s">
        <v>779</v>
      </c>
      <c r="F394" s="48" t="s">
        <v>98</v>
      </c>
      <c r="G394" s="48"/>
      <c r="H394" s="22"/>
      <c r="I394" s="22"/>
      <c r="J394" s="22"/>
      <c r="K394" s="22"/>
      <c r="L394" s="22"/>
      <c r="M394" s="22"/>
      <c r="N394" s="22" t="s">
        <v>780</v>
      </c>
      <c r="O394" s="23"/>
      <c r="P394" s="18" t="s">
        <v>56</v>
      </c>
      <c r="Q394" s="72"/>
      <c r="R394" s="72"/>
      <c r="S394" s="25">
        <v>20</v>
      </c>
      <c r="T394" s="26"/>
      <c r="U394" s="26"/>
      <c r="V394" s="25">
        <v>20</v>
      </c>
      <c r="W394" s="26"/>
      <c r="X394" s="25">
        <v>20</v>
      </c>
      <c r="Y394" s="26">
        <f>T394+R394+Q394+U394+W394</f>
        <v>0</v>
      </c>
      <c r="Z394" s="27">
        <v>140</v>
      </c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>
        <f>SUM(AM394:AS394)</f>
        <v>0</v>
      </c>
      <c r="AM394" s="26"/>
      <c r="AN394" s="26"/>
      <c r="AO394" s="26"/>
      <c r="AP394" s="26"/>
      <c r="AQ394" s="26"/>
      <c r="AR394" s="26"/>
      <c r="AS394" s="26"/>
      <c r="AT394" s="28"/>
      <c r="AU394" s="28"/>
      <c r="AV394" s="26"/>
      <c r="AW394" s="26"/>
      <c r="AX394" s="28"/>
      <c r="AY394" s="72">
        <f>Y394-AV394-AX394-AW394</f>
        <v>0</v>
      </c>
      <c r="AZ394" s="68"/>
      <c r="BA394" s="26">
        <f>AL394+AG394+AA394+AT394</f>
        <v>0</v>
      </c>
      <c r="BB394" s="30">
        <f>BD394+AO394+AG394</f>
        <v>0</v>
      </c>
      <c r="BC394" s="30">
        <f>BD394+AS394</f>
        <v>0</v>
      </c>
      <c r="BD394" s="30">
        <f>IF(BA394&gt;0,Y394-BA394,BA394)</f>
        <v>0</v>
      </c>
      <c r="BE394" s="31">
        <v>8</v>
      </c>
      <c r="BF394" s="30" t="s">
        <v>57</v>
      </c>
      <c r="BG394" s="31">
        <f>BE394*Q394</f>
        <v>0</v>
      </c>
      <c r="BH394" s="31">
        <f>BE394*R394*0.4</f>
        <v>0</v>
      </c>
      <c r="BI394" s="31"/>
      <c r="BJ394" s="31"/>
      <c r="BK394" s="32">
        <f>Y394*BE394</f>
        <v>0</v>
      </c>
      <c r="BL394" s="25">
        <v>20</v>
      </c>
      <c r="BM394" s="25">
        <v>20</v>
      </c>
      <c r="BN394" s="25">
        <v>20</v>
      </c>
      <c r="BO394" s="25">
        <v>20</v>
      </c>
      <c r="BP394" s="25">
        <f>BE394*AV394</f>
        <v>0</v>
      </c>
      <c r="BQ394" s="25">
        <f>BE394*AX394</f>
        <v>0</v>
      </c>
      <c r="BR394" s="26"/>
      <c r="BS394" s="32"/>
    </row>
    <row r="395" spans="1:71" s="6" customFormat="1" ht="41.25" customHeight="1">
      <c r="A395" s="18">
        <v>392</v>
      </c>
      <c r="B395" s="18" t="s">
        <v>94</v>
      </c>
      <c r="C395" s="18" t="s">
        <v>215</v>
      </c>
      <c r="D395" s="18" t="s">
        <v>96</v>
      </c>
      <c r="E395" s="20" t="s">
        <v>781</v>
      </c>
      <c r="F395" s="21" t="s">
        <v>52</v>
      </c>
      <c r="G395" s="21"/>
      <c r="H395" s="22"/>
      <c r="I395" s="22"/>
      <c r="J395" s="22"/>
      <c r="K395" s="22"/>
      <c r="L395" s="20" t="s">
        <v>53</v>
      </c>
      <c r="M395" s="22"/>
      <c r="N395" s="22" t="s">
        <v>782</v>
      </c>
      <c r="O395" s="23" t="s">
        <v>783</v>
      </c>
      <c r="P395" s="18" t="s">
        <v>56</v>
      </c>
      <c r="Q395" s="42"/>
      <c r="R395" s="72"/>
      <c r="S395" s="25"/>
      <c r="T395" s="26"/>
      <c r="U395" s="26"/>
      <c r="V395" s="25"/>
      <c r="W395" s="29">
        <v>40</v>
      </c>
      <c r="X395" s="25"/>
      <c r="Y395" s="53">
        <f>T395+R395+Q395+U395+W395</f>
        <v>40</v>
      </c>
      <c r="Z395" s="27">
        <v>200</v>
      </c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>
        <f>SUM(AM395:AS395)</f>
        <v>0</v>
      </c>
      <c r="AM395" s="26"/>
      <c r="AN395" s="26"/>
      <c r="AO395" s="26"/>
      <c r="AP395" s="26"/>
      <c r="AQ395" s="26"/>
      <c r="AR395" s="26"/>
      <c r="AS395" s="26"/>
      <c r="AT395" s="28"/>
      <c r="AU395" s="28"/>
      <c r="AV395" s="26"/>
      <c r="AW395" s="26"/>
      <c r="AX395" s="28"/>
      <c r="AY395" s="29">
        <f>Y395-AV395-AX395-AW395</f>
        <v>40</v>
      </c>
      <c r="AZ395" s="29"/>
      <c r="BA395" s="26">
        <f>AL395+AG395+AA395+AT395</f>
        <v>0</v>
      </c>
      <c r="BB395" s="30">
        <f>BD395+AO395+AG395</f>
        <v>0</v>
      </c>
      <c r="BC395" s="30">
        <f>BD395+AS395</f>
        <v>0</v>
      </c>
      <c r="BD395" s="30">
        <f>IF(BA395&gt;0,Y395-BA395,BA395)</f>
        <v>0</v>
      </c>
      <c r="BE395" s="31">
        <v>8</v>
      </c>
      <c r="BF395" s="30" t="s">
        <v>57</v>
      </c>
      <c r="BG395" s="31">
        <f>BE395*Q395</f>
        <v>0</v>
      </c>
      <c r="BH395" s="31">
        <f>BE395*R395*0.4</f>
        <v>0</v>
      </c>
      <c r="BI395" s="31"/>
      <c r="BJ395" s="31"/>
      <c r="BK395" s="32">
        <f>Y395*BE395</f>
        <v>320</v>
      </c>
      <c r="BL395" s="25"/>
      <c r="BM395" s="25"/>
      <c r="BN395" s="25"/>
      <c r="BO395" s="25">
        <v>200</v>
      </c>
      <c r="BP395" s="25">
        <f>BE395*AV395</f>
        <v>0</v>
      </c>
      <c r="BQ395" s="25">
        <f>BE395*AX395</f>
        <v>0</v>
      </c>
      <c r="BR395" s="26"/>
      <c r="BS395" s="32"/>
    </row>
    <row r="396" spans="1:71" s="6" customFormat="1" ht="41.25" customHeight="1">
      <c r="A396" s="18">
        <v>393</v>
      </c>
      <c r="B396" s="18" t="s">
        <v>58</v>
      </c>
      <c r="C396" s="65" t="s">
        <v>369</v>
      </c>
      <c r="D396" s="21" t="s">
        <v>50</v>
      </c>
      <c r="E396" s="20" t="s">
        <v>679</v>
      </c>
      <c r="F396" s="52" t="s">
        <v>123</v>
      </c>
      <c r="G396" s="52"/>
      <c r="H396" s="22"/>
      <c r="I396" s="22"/>
      <c r="J396" s="22"/>
      <c r="K396" s="22"/>
      <c r="L396" s="20" t="s">
        <v>53</v>
      </c>
      <c r="M396" s="22"/>
      <c r="N396" s="22" t="s">
        <v>784</v>
      </c>
      <c r="O396" s="23" t="s">
        <v>785</v>
      </c>
      <c r="P396" s="18" t="s">
        <v>56</v>
      </c>
      <c r="Q396" s="72"/>
      <c r="R396" s="144"/>
      <c r="S396" s="25">
        <v>460</v>
      </c>
      <c r="T396" s="26"/>
      <c r="U396" s="26"/>
      <c r="V396" s="25">
        <v>460</v>
      </c>
      <c r="W396" s="26"/>
      <c r="X396" s="25">
        <v>276</v>
      </c>
      <c r="Y396" s="26">
        <f>T396+R396+Q396+U396+W396</f>
        <v>0</v>
      </c>
      <c r="Z396" s="27">
        <v>2300</v>
      </c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>
        <f>SUM(AM396:AS396)</f>
        <v>0</v>
      </c>
      <c r="AM396" s="26"/>
      <c r="AN396" s="26"/>
      <c r="AO396" s="26"/>
      <c r="AP396" s="26"/>
      <c r="AQ396" s="26"/>
      <c r="AR396" s="26"/>
      <c r="AS396" s="26"/>
      <c r="AT396" s="28"/>
      <c r="AU396" s="28"/>
      <c r="AV396" s="26"/>
      <c r="AW396" s="26"/>
      <c r="AX396" s="28"/>
      <c r="AY396" s="72">
        <f>Y396-AV396-AX396-AW396</f>
        <v>0</v>
      </c>
      <c r="AZ396" s="68"/>
      <c r="BA396" s="26">
        <f>AL396+AG396+AA396+AT396</f>
        <v>0</v>
      </c>
      <c r="BB396" s="30">
        <f>BD396+AO396+AG396</f>
        <v>0</v>
      </c>
      <c r="BC396" s="30">
        <f>BD396+AS396</f>
        <v>0</v>
      </c>
      <c r="BD396" s="30">
        <f>IF(BA396&gt;0,Y396-BA396,BA396)</f>
        <v>0</v>
      </c>
      <c r="BE396" s="31">
        <v>3.75</v>
      </c>
      <c r="BF396" s="30" t="s">
        <v>57</v>
      </c>
      <c r="BG396" s="31">
        <f>BE396*Q396</f>
        <v>0</v>
      </c>
      <c r="BH396" s="31">
        <f>BE396*R396*0.4</f>
        <v>0</v>
      </c>
      <c r="BI396" s="142"/>
      <c r="BJ396" s="142"/>
      <c r="BK396" s="32">
        <f>Y396*BE396</f>
        <v>0</v>
      </c>
      <c r="BL396" s="25">
        <v>276</v>
      </c>
      <c r="BM396" s="25">
        <v>276</v>
      </c>
      <c r="BN396" s="25">
        <v>276</v>
      </c>
      <c r="BO396" s="25">
        <v>276</v>
      </c>
      <c r="BP396" s="25">
        <f>BE396*AV396</f>
        <v>0</v>
      </c>
      <c r="BQ396" s="25">
        <f>BE396*AX396</f>
        <v>0</v>
      </c>
      <c r="BR396" s="26"/>
      <c r="BS396" s="32"/>
    </row>
    <row r="397" spans="1:71" s="6" customFormat="1" ht="41.25" customHeight="1">
      <c r="A397" s="18">
        <v>394</v>
      </c>
      <c r="B397" s="18" t="s">
        <v>94</v>
      </c>
      <c r="C397" s="18" t="s">
        <v>209</v>
      </c>
      <c r="D397" s="18" t="s">
        <v>96</v>
      </c>
      <c r="E397" s="20" t="s">
        <v>791</v>
      </c>
      <c r="F397" s="18" t="s">
        <v>209</v>
      </c>
      <c r="G397" s="18"/>
      <c r="H397" s="22"/>
      <c r="I397" s="22"/>
      <c r="J397" s="22"/>
      <c r="K397" s="22"/>
      <c r="L397" s="20" t="s">
        <v>53</v>
      </c>
      <c r="M397" s="22"/>
      <c r="N397" s="22" t="s">
        <v>792</v>
      </c>
      <c r="O397" s="23"/>
      <c r="P397" s="18" t="s">
        <v>56</v>
      </c>
      <c r="Q397" s="72"/>
      <c r="R397" s="72"/>
      <c r="S397" s="25"/>
      <c r="T397" s="26"/>
      <c r="U397" s="26"/>
      <c r="V397" s="25"/>
      <c r="W397" s="26"/>
      <c r="X397" s="25">
        <v>200</v>
      </c>
      <c r="Y397" s="26">
        <f>T397+R397+Q397+U397+W397</f>
        <v>0</v>
      </c>
      <c r="Z397" s="27">
        <v>200</v>
      </c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>
        <f>SUM(AM397:AS397)</f>
        <v>0</v>
      </c>
      <c r="AM397" s="26"/>
      <c r="AN397" s="26"/>
      <c r="AO397" s="26"/>
      <c r="AP397" s="26"/>
      <c r="AQ397" s="26"/>
      <c r="AR397" s="26"/>
      <c r="AS397" s="26"/>
      <c r="AT397" s="28"/>
      <c r="AU397" s="28"/>
      <c r="AV397" s="26"/>
      <c r="AW397" s="26"/>
      <c r="AX397" s="28"/>
      <c r="AY397" s="72">
        <f>Y397-AV397-AX397-AW397</f>
        <v>0</v>
      </c>
      <c r="AZ397" s="68"/>
      <c r="BA397" s="26">
        <f>AL397+AG397+AA397+AT397</f>
        <v>0</v>
      </c>
      <c r="BB397" s="30">
        <f>BD397+AO397+AG397</f>
        <v>0</v>
      </c>
      <c r="BC397" s="30">
        <f>BD397+AS397</f>
        <v>0</v>
      </c>
      <c r="BD397" s="30">
        <f>IF(BA397&gt;0,Y397-BA397,BA397)</f>
        <v>0</v>
      </c>
      <c r="BE397" s="31"/>
      <c r="BF397" s="30" t="s">
        <v>57</v>
      </c>
      <c r="BG397" s="31">
        <f>BE397*Q397</f>
        <v>0</v>
      </c>
      <c r="BH397" s="31">
        <f>BE397*R397*0.4</f>
        <v>0</v>
      </c>
      <c r="BI397" s="142"/>
      <c r="BJ397" s="142"/>
      <c r="BK397" s="32">
        <f>Y397*BE397</f>
        <v>0</v>
      </c>
      <c r="BL397" s="25"/>
      <c r="BM397" s="25"/>
      <c r="BN397" s="25"/>
      <c r="BO397" s="25"/>
      <c r="BP397" s="25">
        <f>BE397*AV397</f>
        <v>0</v>
      </c>
      <c r="BQ397" s="25">
        <f>BE397*AX397</f>
        <v>0</v>
      </c>
      <c r="BR397" s="26"/>
      <c r="BS397" s="32"/>
    </row>
    <row r="398" spans="1:71" s="6" customFormat="1" ht="41.25" customHeight="1">
      <c r="A398" s="18">
        <v>395</v>
      </c>
      <c r="B398" s="18" t="s">
        <v>94</v>
      </c>
      <c r="C398" s="18" t="s">
        <v>215</v>
      </c>
      <c r="D398" s="18" t="s">
        <v>96</v>
      </c>
      <c r="E398" s="20" t="s">
        <v>781</v>
      </c>
      <c r="F398" s="21" t="s">
        <v>52</v>
      </c>
      <c r="G398" s="21"/>
      <c r="H398" s="22"/>
      <c r="I398" s="22"/>
      <c r="J398" s="22"/>
      <c r="K398" s="22"/>
      <c r="L398" s="20" t="s">
        <v>53</v>
      </c>
      <c r="M398" s="22"/>
      <c r="N398" s="22" t="s">
        <v>803</v>
      </c>
      <c r="O398" s="23" t="s">
        <v>804</v>
      </c>
      <c r="P398" s="18" t="s">
        <v>56</v>
      </c>
      <c r="Q398" s="72"/>
      <c r="R398" s="144"/>
      <c r="S398" s="25"/>
      <c r="T398" s="26"/>
      <c r="U398" s="26"/>
      <c r="V398" s="25">
        <v>200</v>
      </c>
      <c r="W398" s="26"/>
      <c r="X398" s="25"/>
      <c r="Y398" s="26">
        <f>T398+R398+Q398+U398+W398</f>
        <v>0</v>
      </c>
      <c r="Z398" s="27">
        <v>200</v>
      </c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>
        <f>SUM(AM398:AS398)</f>
        <v>0</v>
      </c>
      <c r="AM398" s="26"/>
      <c r="AN398" s="26"/>
      <c r="AO398" s="26"/>
      <c r="AP398" s="26"/>
      <c r="AQ398" s="26"/>
      <c r="AR398" s="26"/>
      <c r="AS398" s="26"/>
      <c r="AT398" s="28"/>
      <c r="AU398" s="28"/>
      <c r="AV398" s="26"/>
      <c r="AW398" s="26"/>
      <c r="AX398" s="28"/>
      <c r="AY398" s="72">
        <f>Y398-AV398-AX398-AW398</f>
        <v>0</v>
      </c>
      <c r="AZ398" s="68"/>
      <c r="BA398" s="26">
        <f>AL398+AG398+AA398+AT398</f>
        <v>0</v>
      </c>
      <c r="BB398" s="30">
        <f>BD398+AO398+AG398</f>
        <v>0</v>
      </c>
      <c r="BC398" s="30">
        <f>BD398+AS398</f>
        <v>0</v>
      </c>
      <c r="BD398" s="30">
        <f>IF(BA398&gt;0,Y398-BA398,BA398)</f>
        <v>0</v>
      </c>
      <c r="BE398" s="31"/>
      <c r="BF398" s="30" t="s">
        <v>57</v>
      </c>
      <c r="BG398" s="31">
        <f>BE398*Q398</f>
        <v>0</v>
      </c>
      <c r="BH398" s="31">
        <f>BE398*R398*0.4</f>
        <v>0</v>
      </c>
      <c r="BI398" s="142"/>
      <c r="BJ398" s="142"/>
      <c r="BK398" s="32">
        <f>Y398*BE398</f>
        <v>0</v>
      </c>
      <c r="BL398" s="25"/>
      <c r="BM398" s="25"/>
      <c r="BN398" s="25"/>
      <c r="BO398" s="25"/>
      <c r="BP398" s="25">
        <f>BE398*AV398</f>
        <v>0</v>
      </c>
      <c r="BQ398" s="25">
        <f>BE398*AX398</f>
        <v>0</v>
      </c>
      <c r="BR398" s="26"/>
      <c r="BS398" s="32"/>
    </row>
    <row r="399" spans="1:71" s="6" customFormat="1" ht="41.25" customHeight="1">
      <c r="A399" s="18">
        <v>396</v>
      </c>
      <c r="B399" s="18" t="s">
        <v>66</v>
      </c>
      <c r="C399" s="18" t="s">
        <v>139</v>
      </c>
      <c r="D399" s="56" t="s">
        <v>50</v>
      </c>
      <c r="E399" s="20" t="s">
        <v>763</v>
      </c>
      <c r="F399" s="52" t="s">
        <v>123</v>
      </c>
      <c r="G399" s="52"/>
      <c r="H399" s="22">
        <v>120</v>
      </c>
      <c r="I399" s="22">
        <v>200</v>
      </c>
      <c r="J399" s="22"/>
      <c r="K399" s="22"/>
      <c r="L399" s="20" t="s">
        <v>53</v>
      </c>
      <c r="M399" s="22"/>
      <c r="N399" s="22" t="s">
        <v>805</v>
      </c>
      <c r="O399" s="23" t="s">
        <v>806</v>
      </c>
      <c r="P399" s="18" t="s">
        <v>56</v>
      </c>
      <c r="Q399" s="144"/>
      <c r="R399" s="144"/>
      <c r="S399" s="25">
        <v>920</v>
      </c>
      <c r="T399" s="26"/>
      <c r="U399" s="26"/>
      <c r="V399" s="25">
        <v>920</v>
      </c>
      <c r="W399" s="26"/>
      <c r="X399" s="25">
        <v>552</v>
      </c>
      <c r="Y399" s="26">
        <f>T399+R399+Q399+U399+W399</f>
        <v>0</v>
      </c>
      <c r="Z399" s="27">
        <v>4600</v>
      </c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>
        <f>SUM(AM399:AS399)</f>
        <v>0</v>
      </c>
      <c r="AM399" s="26"/>
      <c r="AN399" s="26"/>
      <c r="AO399" s="26"/>
      <c r="AP399" s="26"/>
      <c r="AQ399" s="26"/>
      <c r="AR399" s="26"/>
      <c r="AS399" s="26"/>
      <c r="AT399" s="28"/>
      <c r="AU399" s="28"/>
      <c r="AV399" s="26"/>
      <c r="AW399" s="26"/>
      <c r="AX399" s="28"/>
      <c r="AY399" s="72">
        <f>Y399-AV399-AX399-AW399</f>
        <v>0</v>
      </c>
      <c r="AZ399" s="68"/>
      <c r="BA399" s="26">
        <f>AL399+AG399+AA399+AT399</f>
        <v>0</v>
      </c>
      <c r="BB399" s="30">
        <f>BD399+AO399+AG399</f>
        <v>0</v>
      </c>
      <c r="BC399" s="30">
        <f>BD399+AS399</f>
        <v>0</v>
      </c>
      <c r="BD399" s="30">
        <f>IF(BA399&gt;0,Y399-BA399,BA399)</f>
        <v>0</v>
      </c>
      <c r="BE399" s="31">
        <v>30</v>
      </c>
      <c r="BF399" s="30" t="s">
        <v>57</v>
      </c>
      <c r="BG399" s="31">
        <f>BE399*Q399</f>
        <v>0</v>
      </c>
      <c r="BH399" s="31">
        <f>BE399*R399*0.4</f>
        <v>0</v>
      </c>
      <c r="BI399" s="142"/>
      <c r="BJ399" s="142"/>
      <c r="BK399" s="32">
        <f>Y399*BE399</f>
        <v>0</v>
      </c>
      <c r="BL399" s="25">
        <v>552</v>
      </c>
      <c r="BM399" s="25">
        <v>552</v>
      </c>
      <c r="BN399" s="25">
        <v>552</v>
      </c>
      <c r="BO399" s="25">
        <v>552</v>
      </c>
      <c r="BP399" s="25">
        <f>BE399*AV399</f>
        <v>0</v>
      </c>
      <c r="BQ399" s="25">
        <f>BE399*AX399</f>
        <v>0</v>
      </c>
      <c r="BR399" s="26"/>
      <c r="BS399" s="32"/>
    </row>
    <row r="400" spans="1:71" s="6" customFormat="1" ht="41.25" customHeight="1">
      <c r="A400" s="18">
        <v>397</v>
      </c>
      <c r="B400" s="18" t="s">
        <v>94</v>
      </c>
      <c r="C400" s="18" t="s">
        <v>209</v>
      </c>
      <c r="D400" s="18" t="s">
        <v>96</v>
      </c>
      <c r="E400" s="20" t="s">
        <v>791</v>
      </c>
      <c r="F400" s="18" t="s">
        <v>209</v>
      </c>
      <c r="G400" s="18"/>
      <c r="H400" s="22"/>
      <c r="I400" s="22"/>
      <c r="J400" s="22"/>
      <c r="K400" s="22"/>
      <c r="L400" s="20" t="s">
        <v>53</v>
      </c>
      <c r="M400" s="22"/>
      <c r="N400" s="22" t="s">
        <v>807</v>
      </c>
      <c r="O400" s="23"/>
      <c r="P400" s="18" t="s">
        <v>56</v>
      </c>
      <c r="Q400" s="72"/>
      <c r="R400" s="72"/>
      <c r="S400" s="25"/>
      <c r="T400" s="26"/>
      <c r="U400" s="26"/>
      <c r="V400" s="25"/>
      <c r="W400" s="26"/>
      <c r="X400" s="25"/>
      <c r="Y400" s="26">
        <f>T400+R400+Q400+U400+W400</f>
        <v>0</v>
      </c>
      <c r="Z400" s="27">
        <v>200</v>
      </c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>
        <f>SUM(AM400:AS400)</f>
        <v>0</v>
      </c>
      <c r="AM400" s="26"/>
      <c r="AN400" s="26"/>
      <c r="AO400" s="26"/>
      <c r="AP400" s="26"/>
      <c r="AQ400" s="26"/>
      <c r="AR400" s="26"/>
      <c r="AS400" s="26"/>
      <c r="AT400" s="28"/>
      <c r="AU400" s="28"/>
      <c r="AV400" s="26"/>
      <c r="AW400" s="26"/>
      <c r="AX400" s="28"/>
      <c r="AY400" s="72">
        <f>Y400-AV400-AX400-AW400</f>
        <v>0</v>
      </c>
      <c r="AZ400" s="68"/>
      <c r="BA400" s="26">
        <f>AL400+AG400+AA400+AT400</f>
        <v>0</v>
      </c>
      <c r="BB400" s="30">
        <f>BD400+AO400+AG400</f>
        <v>0</v>
      </c>
      <c r="BC400" s="30">
        <f>BD400+AS400</f>
        <v>0</v>
      </c>
      <c r="BD400" s="30">
        <f>IF(BA400&gt;0,Y400-BA400,BA400)</f>
        <v>0</v>
      </c>
      <c r="BE400" s="31"/>
      <c r="BF400" s="30" t="s">
        <v>57</v>
      </c>
      <c r="BG400" s="31">
        <f>BE400*Q400</f>
        <v>0</v>
      </c>
      <c r="BH400" s="31">
        <f>BE400*R400*0.4</f>
        <v>0</v>
      </c>
      <c r="BI400" s="142"/>
      <c r="BJ400" s="142"/>
      <c r="BK400" s="32">
        <f>Y400*BE400</f>
        <v>0</v>
      </c>
      <c r="BL400" s="25">
        <v>200</v>
      </c>
      <c r="BM400" s="25"/>
      <c r="BN400" s="25"/>
      <c r="BO400" s="25"/>
      <c r="BP400" s="25">
        <f>BE400*AV400</f>
        <v>0</v>
      </c>
      <c r="BQ400" s="25">
        <f>BE400*AX400</f>
        <v>0</v>
      </c>
      <c r="BR400" s="26"/>
      <c r="BS400" s="32"/>
    </row>
    <row r="401" spans="1:71" s="6" customFormat="1" ht="41.25" customHeight="1">
      <c r="A401" s="18">
        <v>398</v>
      </c>
      <c r="B401" s="18" t="s">
        <v>87</v>
      </c>
      <c r="C401" s="18" t="s">
        <v>88</v>
      </c>
      <c r="D401" s="47" t="s">
        <v>89</v>
      </c>
      <c r="E401" s="22" t="s">
        <v>773</v>
      </c>
      <c r="F401" s="36" t="s">
        <v>70</v>
      </c>
      <c r="G401" s="36"/>
      <c r="H401" s="22"/>
      <c r="I401" s="37" t="s">
        <v>774</v>
      </c>
      <c r="J401" s="37"/>
      <c r="K401" s="37"/>
      <c r="L401" s="22"/>
      <c r="M401" s="22"/>
      <c r="N401" s="22" t="s">
        <v>818</v>
      </c>
      <c r="O401" s="23" t="s">
        <v>819</v>
      </c>
      <c r="P401" s="18" t="s">
        <v>56</v>
      </c>
      <c r="Q401" s="144"/>
      <c r="R401" s="144"/>
      <c r="S401" s="25">
        <v>5</v>
      </c>
      <c r="T401" s="26"/>
      <c r="U401" s="26"/>
      <c r="V401" s="25"/>
      <c r="W401" s="26"/>
      <c r="X401" s="25"/>
      <c r="Y401" s="26">
        <f>T401+R401+Q401+U401+W401</f>
        <v>0</v>
      </c>
      <c r="Z401" s="27">
        <v>5</v>
      </c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>
        <f>SUM(AM401:AS401)</f>
        <v>0</v>
      </c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72">
        <f>Y401-AV401-AX401-AW401</f>
        <v>0</v>
      </c>
      <c r="AZ401" s="68"/>
      <c r="BA401" s="26">
        <f>AL401+AG401+AA401+AT401</f>
        <v>0</v>
      </c>
      <c r="BB401" s="30">
        <f>BD401+AO401+AG401</f>
        <v>0</v>
      </c>
      <c r="BC401" s="30">
        <f>BD401+AS401</f>
        <v>0</v>
      </c>
      <c r="BD401" s="30">
        <f>IF(BA401&gt;0,Y401-BA401,BA401)</f>
        <v>0</v>
      </c>
      <c r="BE401" s="31">
        <v>446</v>
      </c>
      <c r="BF401" s="30" t="s">
        <v>57</v>
      </c>
      <c r="BG401" s="31">
        <f>BE401*Q401</f>
        <v>0</v>
      </c>
      <c r="BH401" s="31">
        <f>BE401*R401*0.4</f>
        <v>0</v>
      </c>
      <c r="BI401" s="142"/>
      <c r="BJ401" s="142"/>
      <c r="BK401" s="32">
        <f>Y401*BE401</f>
        <v>0</v>
      </c>
      <c r="BL401" s="25"/>
      <c r="BM401" s="25"/>
      <c r="BN401" s="25"/>
      <c r="BO401" s="25"/>
      <c r="BP401" s="25">
        <f>BE401*AV401</f>
        <v>0</v>
      </c>
      <c r="BQ401" s="25">
        <f>BE401*AX401</f>
        <v>0</v>
      </c>
      <c r="BR401" s="26"/>
      <c r="BS401" s="32"/>
    </row>
    <row r="402" spans="1:71" s="6" customFormat="1" ht="41.25" customHeight="1">
      <c r="A402" s="18">
        <v>399</v>
      </c>
      <c r="B402" s="18" t="s">
        <v>94</v>
      </c>
      <c r="C402" s="18" t="s">
        <v>166</v>
      </c>
      <c r="D402" s="18" t="s">
        <v>96</v>
      </c>
      <c r="E402" s="22" t="s">
        <v>779</v>
      </c>
      <c r="F402" s="48" t="s">
        <v>98</v>
      </c>
      <c r="G402" s="48"/>
      <c r="H402" s="22"/>
      <c r="I402" s="22"/>
      <c r="J402" s="22"/>
      <c r="K402" s="22"/>
      <c r="L402" s="22"/>
      <c r="M402" s="22"/>
      <c r="N402" s="22" t="s">
        <v>820</v>
      </c>
      <c r="O402" s="23"/>
      <c r="P402" s="18" t="s">
        <v>56</v>
      </c>
      <c r="Q402" s="72"/>
      <c r="R402" s="72"/>
      <c r="S402" s="25">
        <v>20</v>
      </c>
      <c r="T402" s="26"/>
      <c r="U402" s="26"/>
      <c r="V402" s="25">
        <v>20</v>
      </c>
      <c r="W402" s="26"/>
      <c r="X402" s="25">
        <v>40</v>
      </c>
      <c r="Y402" s="26">
        <f>T402+R402+Q402+U402+W402</f>
        <v>0</v>
      </c>
      <c r="Z402" s="27">
        <v>140</v>
      </c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>
        <f>SUM(AM402:AS402)</f>
        <v>0</v>
      </c>
      <c r="AM402" s="26"/>
      <c r="AN402" s="26"/>
      <c r="AO402" s="26"/>
      <c r="AP402" s="26"/>
      <c r="AQ402" s="26"/>
      <c r="AR402" s="26"/>
      <c r="AS402" s="26"/>
      <c r="AT402" s="28"/>
      <c r="AU402" s="28"/>
      <c r="AV402" s="26"/>
      <c r="AW402" s="26"/>
      <c r="AX402" s="28"/>
      <c r="AY402" s="72">
        <f>Y402-AV402-AX402-AW402</f>
        <v>0</v>
      </c>
      <c r="AZ402" s="68"/>
      <c r="BA402" s="26">
        <f>AL402+AG402+AA402+AT402</f>
        <v>0</v>
      </c>
      <c r="BB402" s="30">
        <f>BD402+AO402+AG402</f>
        <v>0</v>
      </c>
      <c r="BC402" s="30">
        <f>BD402+AS402</f>
        <v>0</v>
      </c>
      <c r="BD402" s="30">
        <f>IF(BA402&gt;0,Y402-BA402,BA402)</f>
        <v>0</v>
      </c>
      <c r="BE402" s="31">
        <v>8</v>
      </c>
      <c r="BF402" s="30" t="s">
        <v>57</v>
      </c>
      <c r="BG402" s="31">
        <f>BE402*Q402</f>
        <v>0</v>
      </c>
      <c r="BH402" s="31">
        <f>BE402*R402*0.4</f>
        <v>0</v>
      </c>
      <c r="BI402" s="31"/>
      <c r="BJ402" s="31"/>
      <c r="BK402" s="32">
        <f>Y402*BE402</f>
        <v>0</v>
      </c>
      <c r="BL402" s="25">
        <v>40</v>
      </c>
      <c r="BM402" s="25">
        <v>40</v>
      </c>
      <c r="BN402" s="25">
        <v>40</v>
      </c>
      <c r="BO402" s="25">
        <v>40</v>
      </c>
      <c r="BP402" s="25">
        <f>BE402*AV402</f>
        <v>0</v>
      </c>
      <c r="BQ402" s="25">
        <f>BE402*AX402</f>
        <v>0</v>
      </c>
      <c r="BR402" s="26"/>
      <c r="BS402" s="32"/>
    </row>
    <row r="403" spans="1:71" s="6" customFormat="1" ht="41.25" customHeight="1">
      <c r="A403" s="18">
        <v>400</v>
      </c>
      <c r="B403" s="18" t="s">
        <v>94</v>
      </c>
      <c r="C403" s="18" t="s">
        <v>177</v>
      </c>
      <c r="D403" s="18" t="s">
        <v>96</v>
      </c>
      <c r="E403" s="22" t="s">
        <v>823</v>
      </c>
      <c r="F403" s="52" t="s">
        <v>123</v>
      </c>
      <c r="G403" s="52"/>
      <c r="H403" s="22"/>
      <c r="I403" s="22"/>
      <c r="J403" s="22"/>
      <c r="K403" s="22"/>
      <c r="L403" s="22"/>
      <c r="M403" s="22"/>
      <c r="N403" s="22" t="s">
        <v>824</v>
      </c>
      <c r="O403" s="23"/>
      <c r="P403" s="18" t="s">
        <v>56</v>
      </c>
      <c r="Q403" s="149">
        <v>20</v>
      </c>
      <c r="R403" s="26"/>
      <c r="S403" s="25">
        <v>20</v>
      </c>
      <c r="T403" s="26"/>
      <c r="U403" s="26"/>
      <c r="V403" s="25">
        <v>20</v>
      </c>
      <c r="W403" s="26"/>
      <c r="X403" s="25">
        <v>20</v>
      </c>
      <c r="Y403" s="53">
        <f>T403+R403+Q403+U403+W403</f>
        <v>20</v>
      </c>
      <c r="Z403" s="27">
        <v>140</v>
      </c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>
        <f>SUM(AM403:AS403)</f>
        <v>0</v>
      </c>
      <c r="AM403" s="26"/>
      <c r="AN403" s="26"/>
      <c r="AO403" s="26"/>
      <c r="AP403" s="26"/>
      <c r="AQ403" s="26"/>
      <c r="AR403" s="26"/>
      <c r="AS403" s="26"/>
      <c r="AT403" s="28"/>
      <c r="AU403" s="28"/>
      <c r="AV403" s="26"/>
      <c r="AW403" s="26"/>
      <c r="AX403" s="28"/>
      <c r="AY403" s="29">
        <f>Y403-AV403-AX403-AW403</f>
        <v>20</v>
      </c>
      <c r="AZ403" s="29">
        <f ca="1">'Layout for shadhous 1&amp;2'!I55</f>
        <v>0</v>
      </c>
      <c r="BA403" s="26">
        <f>AL403+AG403+AA403+AT403</f>
        <v>0</v>
      </c>
      <c r="BB403" s="30">
        <f>BD403+AO403+AG403</f>
        <v>0</v>
      </c>
      <c r="BC403" s="30">
        <f>BD403+AS403</f>
        <v>0</v>
      </c>
      <c r="BD403" s="30">
        <f>IF(BA403&gt;0,Y403-BA403,BA403)</f>
        <v>0</v>
      </c>
      <c r="BE403" s="31">
        <v>8</v>
      </c>
      <c r="BF403" s="30" t="s">
        <v>57</v>
      </c>
      <c r="BG403" s="31">
        <f>BE403*Q403</f>
        <v>160</v>
      </c>
      <c r="BH403" s="31">
        <f>BE403*R403*0.4</f>
        <v>0</v>
      </c>
      <c r="BI403" s="31"/>
      <c r="BJ403" s="31"/>
      <c r="BK403" s="32">
        <f>Y403*BE403</f>
        <v>160</v>
      </c>
      <c r="BL403" s="25">
        <v>20</v>
      </c>
      <c r="BM403" s="25">
        <v>20</v>
      </c>
      <c r="BN403" s="25">
        <v>20</v>
      </c>
      <c r="BO403" s="25">
        <v>20</v>
      </c>
      <c r="BP403" s="25">
        <f>BE403*AV403</f>
        <v>0</v>
      </c>
      <c r="BQ403" s="25">
        <f>BE403*AX403</f>
        <v>0</v>
      </c>
      <c r="BR403" s="26"/>
      <c r="BS403" s="32"/>
    </row>
    <row r="404" spans="1:71" s="6" customFormat="1" ht="41.25" customHeight="1">
      <c r="A404" s="18">
        <v>401</v>
      </c>
      <c r="B404" s="18" t="s">
        <v>94</v>
      </c>
      <c r="C404" s="18" t="s">
        <v>121</v>
      </c>
      <c r="D404" s="18" t="s">
        <v>96</v>
      </c>
      <c r="E404" s="22" t="s">
        <v>825</v>
      </c>
      <c r="F404" s="52" t="s">
        <v>123</v>
      </c>
      <c r="G404" s="52"/>
      <c r="H404" s="22"/>
      <c r="I404" s="22"/>
      <c r="J404" s="22"/>
      <c r="K404" s="22"/>
      <c r="L404" s="22"/>
      <c r="M404" s="22"/>
      <c r="N404" s="22" t="s">
        <v>826</v>
      </c>
      <c r="O404" s="23"/>
      <c r="P404" s="38" t="s">
        <v>56</v>
      </c>
      <c r="Q404" s="88">
        <v>40</v>
      </c>
      <c r="R404" s="26"/>
      <c r="S404" s="40">
        <v>40</v>
      </c>
      <c r="T404" s="26"/>
      <c r="U404" s="26"/>
      <c r="V404" s="25">
        <v>40</v>
      </c>
      <c r="W404" s="26"/>
      <c r="X404" s="25">
        <v>40</v>
      </c>
      <c r="Y404" s="53">
        <f>T404+R404+Q404+U404+W404</f>
        <v>40</v>
      </c>
      <c r="Z404" s="27">
        <v>280</v>
      </c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>
        <f>SUM(AM404:AS404)</f>
        <v>0</v>
      </c>
      <c r="AM404" s="26"/>
      <c r="AN404" s="26"/>
      <c r="AO404" s="26"/>
      <c r="AP404" s="26"/>
      <c r="AQ404" s="26"/>
      <c r="AR404" s="26"/>
      <c r="AS404" s="26"/>
      <c r="AT404" s="28"/>
      <c r="AU404" s="28"/>
      <c r="AV404" s="26"/>
      <c r="AW404" s="26"/>
      <c r="AX404" s="28"/>
      <c r="AY404" s="29">
        <f>Y404-AV404-AX404-AW404</f>
        <v>40</v>
      </c>
      <c r="AZ404" s="29"/>
      <c r="BA404" s="26">
        <f>AL404+AG404+AA404+AT404</f>
        <v>0</v>
      </c>
      <c r="BB404" s="30">
        <f>BD404+AO404+AG404</f>
        <v>0</v>
      </c>
      <c r="BC404" s="30">
        <f>BD404+AS404</f>
        <v>0</v>
      </c>
      <c r="BD404" s="30">
        <f>IF(BA404&gt;0,Y404-BA404,BA404)</f>
        <v>0</v>
      </c>
      <c r="BE404" s="31">
        <v>8</v>
      </c>
      <c r="BF404" s="30" t="s">
        <v>57</v>
      </c>
      <c r="BG404" s="31">
        <f>BE404*Q404</f>
        <v>320</v>
      </c>
      <c r="BH404" s="31">
        <f>BE404*R404*0.4</f>
        <v>0</v>
      </c>
      <c r="BI404" s="142"/>
      <c r="BJ404" s="142"/>
      <c r="BK404" s="32">
        <f>Y404*BE404</f>
        <v>320</v>
      </c>
      <c r="BL404" s="25">
        <v>40</v>
      </c>
      <c r="BM404" s="25">
        <v>40</v>
      </c>
      <c r="BN404" s="25">
        <v>40</v>
      </c>
      <c r="BO404" s="25">
        <v>40</v>
      </c>
      <c r="BP404" s="25">
        <f>BE404*AV404</f>
        <v>0</v>
      </c>
      <c r="BQ404" s="25">
        <f>BE404*AX404</f>
        <v>0</v>
      </c>
      <c r="BR404" s="26"/>
      <c r="BS404" s="32"/>
    </row>
    <row r="405" spans="1:71" s="6" customFormat="1" ht="41.25" customHeight="1">
      <c r="A405" s="18">
        <v>402</v>
      </c>
      <c r="B405" s="18" t="s">
        <v>94</v>
      </c>
      <c r="C405" s="18" t="s">
        <v>121</v>
      </c>
      <c r="D405" s="18" t="s">
        <v>96</v>
      </c>
      <c r="E405" s="22" t="s">
        <v>825</v>
      </c>
      <c r="F405" s="52" t="s">
        <v>123</v>
      </c>
      <c r="G405" s="52"/>
      <c r="H405" s="22"/>
      <c r="I405" s="22"/>
      <c r="J405" s="22"/>
      <c r="K405" s="22"/>
      <c r="L405" s="22"/>
      <c r="M405" s="22"/>
      <c r="N405" s="22" t="s">
        <v>827</v>
      </c>
      <c r="O405" s="23"/>
      <c r="P405" s="38" t="s">
        <v>56</v>
      </c>
      <c r="Q405" s="88">
        <v>40</v>
      </c>
      <c r="R405" s="26"/>
      <c r="S405" s="40">
        <v>40</v>
      </c>
      <c r="T405" s="63">
        <v>24</v>
      </c>
      <c r="U405" s="26"/>
      <c r="V405" s="25">
        <v>40</v>
      </c>
      <c r="W405" s="63">
        <v>20</v>
      </c>
      <c r="X405" s="25">
        <v>40</v>
      </c>
      <c r="Y405" s="53">
        <f>T405+R405+Q405+U405+W405</f>
        <v>84</v>
      </c>
      <c r="Z405" s="27">
        <v>280</v>
      </c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>
        <f>SUM(AM405:AS405)</f>
        <v>0</v>
      </c>
      <c r="AM405" s="26"/>
      <c r="AN405" s="26"/>
      <c r="AO405" s="26"/>
      <c r="AP405" s="26"/>
      <c r="AQ405" s="26"/>
      <c r="AR405" s="26"/>
      <c r="AS405" s="26"/>
      <c r="AT405" s="28"/>
      <c r="AU405" s="28"/>
      <c r="AV405" s="26"/>
      <c r="AW405" s="26"/>
      <c r="AX405" s="28"/>
      <c r="AY405" s="29">
        <f>Y405-AV405-AX405-AW405</f>
        <v>84</v>
      </c>
      <c r="AZ405" s="29">
        <f>'Layout for shadhous 3'!M55</f>
        <v>84</v>
      </c>
      <c r="BA405" s="26">
        <f>AL405+AG405+AA405+AT405</f>
        <v>0</v>
      </c>
      <c r="BB405" s="30">
        <f>BD405+AO405+AG405</f>
        <v>0</v>
      </c>
      <c r="BC405" s="30">
        <f>BD405+AS405</f>
        <v>0</v>
      </c>
      <c r="BD405" s="30">
        <f>IF(BA405&gt;0,Y405-BA405,BA405)</f>
        <v>0</v>
      </c>
      <c r="BE405" s="31">
        <v>8</v>
      </c>
      <c r="BF405" s="30" t="s">
        <v>57</v>
      </c>
      <c r="BG405" s="31">
        <f>BE405*Q405</f>
        <v>320</v>
      </c>
      <c r="BH405" s="31">
        <f>BE405*R405*0.4</f>
        <v>0</v>
      </c>
      <c r="BI405" s="142"/>
      <c r="BJ405" s="142"/>
      <c r="BK405" s="32">
        <f>Y405*BE405</f>
        <v>672</v>
      </c>
      <c r="BL405" s="25">
        <v>40</v>
      </c>
      <c r="BM405" s="25">
        <v>40</v>
      </c>
      <c r="BN405" s="25">
        <v>40</v>
      </c>
      <c r="BO405" s="25">
        <v>40</v>
      </c>
      <c r="BP405" s="25">
        <f>BE405*AV405</f>
        <v>0</v>
      </c>
      <c r="BQ405" s="25">
        <f>BE405*AX405</f>
        <v>0</v>
      </c>
      <c r="BR405" s="26"/>
      <c r="BS405" s="32"/>
    </row>
    <row r="406" spans="1:71" s="6" customFormat="1" ht="41.25" customHeight="1">
      <c r="A406" s="18">
        <v>403</v>
      </c>
      <c r="B406" s="18" t="s">
        <v>94</v>
      </c>
      <c r="C406" s="18" t="s">
        <v>121</v>
      </c>
      <c r="D406" s="18" t="s">
        <v>96</v>
      </c>
      <c r="E406" s="22" t="s">
        <v>828</v>
      </c>
      <c r="F406" s="52" t="s">
        <v>123</v>
      </c>
      <c r="G406" s="52"/>
      <c r="H406" s="22"/>
      <c r="I406" s="22"/>
      <c r="J406" s="22"/>
      <c r="K406" s="22"/>
      <c r="L406" s="22"/>
      <c r="M406" s="22"/>
      <c r="N406" s="22" t="s">
        <v>829</v>
      </c>
      <c r="O406" s="23"/>
      <c r="P406" s="38" t="s">
        <v>56</v>
      </c>
      <c r="Q406" s="88">
        <v>40</v>
      </c>
      <c r="R406" s="26"/>
      <c r="S406" s="40">
        <v>40</v>
      </c>
      <c r="T406" s="26"/>
      <c r="U406" s="26"/>
      <c r="V406" s="25">
        <v>40</v>
      </c>
      <c r="W406" s="26"/>
      <c r="X406" s="25">
        <v>40</v>
      </c>
      <c r="Y406" s="53">
        <f>T406+R406+Q406+U406+W406</f>
        <v>40</v>
      </c>
      <c r="Z406" s="27">
        <v>280</v>
      </c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>
        <f>SUM(AM406:AS406)</f>
        <v>0</v>
      </c>
      <c r="AM406" s="26"/>
      <c r="AN406" s="26"/>
      <c r="AO406" s="26"/>
      <c r="AP406" s="26"/>
      <c r="AQ406" s="26"/>
      <c r="AR406" s="26"/>
      <c r="AS406" s="26"/>
      <c r="AT406" s="28"/>
      <c r="AU406" s="28"/>
      <c r="AV406" s="26"/>
      <c r="AW406" s="26"/>
      <c r="AX406" s="28"/>
      <c r="AY406" s="29">
        <f>Y406-AV406-AX406-AW406</f>
        <v>40</v>
      </c>
      <c r="AZ406" s="29"/>
      <c r="BA406" s="26">
        <f>AL406+AG406+AA406+AT406</f>
        <v>0</v>
      </c>
      <c r="BB406" s="30">
        <f>BD406+AO406+AG406</f>
        <v>0</v>
      </c>
      <c r="BC406" s="30">
        <f>BD406+AS406</f>
        <v>0</v>
      </c>
      <c r="BD406" s="30">
        <f>IF(BA406&gt;0,Y406-BA406,BA406)</f>
        <v>0</v>
      </c>
      <c r="BE406" s="31">
        <v>8</v>
      </c>
      <c r="BF406" s="30" t="s">
        <v>57</v>
      </c>
      <c r="BG406" s="31">
        <f>BE406*Q406</f>
        <v>320</v>
      </c>
      <c r="BH406" s="31">
        <f>BE406*R406*0.4</f>
        <v>0</v>
      </c>
      <c r="BI406" s="142"/>
      <c r="BJ406" s="142"/>
      <c r="BK406" s="32">
        <f>Y406*BE406</f>
        <v>320</v>
      </c>
      <c r="BL406" s="25">
        <v>40</v>
      </c>
      <c r="BM406" s="25">
        <v>40</v>
      </c>
      <c r="BN406" s="25">
        <v>40</v>
      </c>
      <c r="BO406" s="25">
        <v>40</v>
      </c>
      <c r="BP406" s="25">
        <f>BE406*AV406</f>
        <v>0</v>
      </c>
      <c r="BQ406" s="25">
        <f>BE406*AX406</f>
        <v>0</v>
      </c>
      <c r="BR406" s="26"/>
      <c r="BS406" s="32"/>
    </row>
    <row r="407" spans="1:71" s="6" customFormat="1" ht="41.25" customHeight="1">
      <c r="A407" s="18">
        <v>404</v>
      </c>
      <c r="B407" s="18" t="s">
        <v>87</v>
      </c>
      <c r="C407" s="65" t="s">
        <v>125</v>
      </c>
      <c r="D407" s="47" t="s">
        <v>89</v>
      </c>
      <c r="E407" s="20" t="s">
        <v>833</v>
      </c>
      <c r="F407" s="21" t="s">
        <v>52</v>
      </c>
      <c r="G407" s="21"/>
      <c r="H407" s="22"/>
      <c r="I407" s="22" t="s">
        <v>345</v>
      </c>
      <c r="J407" s="22"/>
      <c r="K407" s="22"/>
      <c r="L407" s="20" t="s">
        <v>53</v>
      </c>
      <c r="M407" s="22"/>
      <c r="N407" s="22" t="s">
        <v>831</v>
      </c>
      <c r="O407" s="23" t="s">
        <v>832</v>
      </c>
      <c r="P407" s="18" t="s">
        <v>56</v>
      </c>
      <c r="Q407" s="72"/>
      <c r="R407" s="26"/>
      <c r="S407" s="25">
        <v>200</v>
      </c>
      <c r="T407" s="26"/>
      <c r="U407" s="26"/>
      <c r="V407" s="25"/>
      <c r="W407" s="26"/>
      <c r="X407" s="25"/>
      <c r="Y407" s="26">
        <f>T407+R407+Q407+U407+W407</f>
        <v>0</v>
      </c>
      <c r="Z407" s="27">
        <v>200</v>
      </c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>
        <f>SUM(AM407:AS407)</f>
        <v>0</v>
      </c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72">
        <f>Y407-AV407-AX407-AW407</f>
        <v>0</v>
      </c>
      <c r="AZ407" s="68"/>
      <c r="BA407" s="26">
        <f>AL407+AG407+AA407+AT407</f>
        <v>0</v>
      </c>
      <c r="BB407" s="30">
        <f>BD407+AO407+AG407</f>
        <v>0</v>
      </c>
      <c r="BC407" s="30">
        <f>BD407+AS407</f>
        <v>0</v>
      </c>
      <c r="BD407" s="30">
        <f>IF(BA407&gt;0,Y407-BA407,BA407)</f>
        <v>0</v>
      </c>
      <c r="BE407" s="31">
        <v>3.75</v>
      </c>
      <c r="BF407" s="30" t="s">
        <v>57</v>
      </c>
      <c r="BG407" s="31">
        <f>BE407*Q407</f>
        <v>0</v>
      </c>
      <c r="BH407" s="31">
        <f>BE407*R407*0.4</f>
        <v>0</v>
      </c>
      <c r="BI407" s="142"/>
      <c r="BJ407" s="142"/>
      <c r="BK407" s="32">
        <f>Y407*BE407</f>
        <v>0</v>
      </c>
      <c r="BL407" s="25"/>
      <c r="BM407" s="25"/>
      <c r="BN407" s="25"/>
      <c r="BO407" s="25"/>
      <c r="BP407" s="25">
        <f>BE407*AV407</f>
        <v>0</v>
      </c>
      <c r="BQ407" s="25">
        <f>BE407*AX407</f>
        <v>0</v>
      </c>
      <c r="BR407" s="26"/>
      <c r="BS407" s="32"/>
    </row>
    <row r="408" spans="1:71" s="6" customFormat="1" ht="41.25" customHeight="1">
      <c r="A408" s="18">
        <v>405</v>
      </c>
      <c r="B408" s="18" t="s">
        <v>87</v>
      </c>
      <c r="C408" s="65" t="s">
        <v>125</v>
      </c>
      <c r="D408" s="47" t="s">
        <v>89</v>
      </c>
      <c r="E408" s="20" t="s">
        <v>833</v>
      </c>
      <c r="F408" s="21" t="s">
        <v>52</v>
      </c>
      <c r="G408" s="21"/>
      <c r="H408" s="22"/>
      <c r="I408" s="22" t="s">
        <v>345</v>
      </c>
      <c r="J408" s="22"/>
      <c r="K408" s="22"/>
      <c r="L408" s="20" t="s">
        <v>53</v>
      </c>
      <c r="M408" s="22"/>
      <c r="N408" s="22" t="s">
        <v>835</v>
      </c>
      <c r="O408" s="23" t="s">
        <v>836</v>
      </c>
      <c r="P408" s="18" t="s">
        <v>56</v>
      </c>
      <c r="Q408" s="147"/>
      <c r="R408" s="72"/>
      <c r="S408" s="25">
        <v>200</v>
      </c>
      <c r="T408" s="26"/>
      <c r="U408" s="26"/>
      <c r="V408" s="25"/>
      <c r="W408" s="26"/>
      <c r="X408" s="25"/>
      <c r="Y408" s="26">
        <f>T408+R408+Q408+U408+W408</f>
        <v>0</v>
      </c>
      <c r="Z408" s="27">
        <v>200</v>
      </c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>
        <f>SUM(AM408:AS408)</f>
        <v>0</v>
      </c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72">
        <f>Y408-AV408-AX408-AW408</f>
        <v>0</v>
      </c>
      <c r="AZ408" s="68"/>
      <c r="BA408" s="26">
        <f>AL408+AG408+AA408+AT408</f>
        <v>0</v>
      </c>
      <c r="BB408" s="30">
        <f>BD408+AO408+AG408</f>
        <v>0</v>
      </c>
      <c r="BC408" s="30">
        <f>BD408+AS408</f>
        <v>0</v>
      </c>
      <c r="BD408" s="30">
        <f>IF(BA408&gt;0,Y408-BA408,BA408)</f>
        <v>0</v>
      </c>
      <c r="BE408" s="31">
        <v>3.75</v>
      </c>
      <c r="BF408" s="30" t="s">
        <v>57</v>
      </c>
      <c r="BG408" s="31">
        <f>BE408*Q408</f>
        <v>0</v>
      </c>
      <c r="BH408" s="31">
        <f>BE408*R408*0.4</f>
        <v>0</v>
      </c>
      <c r="BI408" s="142"/>
      <c r="BJ408" s="142"/>
      <c r="BK408" s="32">
        <f>Y408*BE408</f>
        <v>0</v>
      </c>
      <c r="BL408" s="25"/>
      <c r="BM408" s="25"/>
      <c r="BN408" s="25"/>
      <c r="BO408" s="25"/>
      <c r="BP408" s="25">
        <f>BE408*AV408</f>
        <v>0</v>
      </c>
      <c r="BQ408" s="25">
        <f>BE408*AX408</f>
        <v>0</v>
      </c>
      <c r="BR408" s="26"/>
      <c r="BS408" s="32"/>
    </row>
    <row r="409" spans="1:71" s="6" customFormat="1" ht="41.25" customHeight="1">
      <c r="A409" s="18">
        <v>406</v>
      </c>
      <c r="B409" s="18" t="s">
        <v>94</v>
      </c>
      <c r="C409" s="18" t="s">
        <v>200</v>
      </c>
      <c r="D409" s="18" t="s">
        <v>96</v>
      </c>
      <c r="E409" s="20" t="s">
        <v>837</v>
      </c>
      <c r="F409" s="48" t="s">
        <v>98</v>
      </c>
      <c r="G409" s="48"/>
      <c r="H409" s="22"/>
      <c r="I409" s="22"/>
      <c r="J409" s="22"/>
      <c r="K409" s="22"/>
      <c r="L409" s="20" t="s">
        <v>53</v>
      </c>
      <c r="M409" s="22"/>
      <c r="N409" s="22" t="s">
        <v>838</v>
      </c>
      <c r="O409" s="23" t="s">
        <v>836</v>
      </c>
      <c r="P409" s="18" t="s">
        <v>56</v>
      </c>
      <c r="Q409" s="72"/>
      <c r="R409" s="72"/>
      <c r="S409" s="25">
        <v>40</v>
      </c>
      <c r="T409" s="26"/>
      <c r="U409" s="26"/>
      <c r="V409" s="25">
        <v>40</v>
      </c>
      <c r="W409" s="26"/>
      <c r="X409" s="25">
        <v>60</v>
      </c>
      <c r="Y409" s="26">
        <f>T409+R409+Q409+U409+W409</f>
        <v>0</v>
      </c>
      <c r="Z409" s="27">
        <v>280</v>
      </c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>
        <f>SUM(AM409:AS409)</f>
        <v>0</v>
      </c>
      <c r="AM409" s="26"/>
      <c r="AN409" s="26"/>
      <c r="AO409" s="26"/>
      <c r="AP409" s="26"/>
      <c r="AQ409" s="26"/>
      <c r="AR409" s="26"/>
      <c r="AS409" s="26"/>
      <c r="AT409" s="28"/>
      <c r="AU409" s="28"/>
      <c r="AV409" s="26"/>
      <c r="AW409" s="26"/>
      <c r="AX409" s="28"/>
      <c r="AY409" s="72">
        <f>Y409-AV409-AX409-AW409</f>
        <v>0</v>
      </c>
      <c r="AZ409" s="68"/>
      <c r="BA409" s="26">
        <f>AL409+AG409+AA409+AT409</f>
        <v>0</v>
      </c>
      <c r="BB409" s="30">
        <f>BD409+AO409+AG409</f>
        <v>0</v>
      </c>
      <c r="BC409" s="30">
        <f>BD409+AS409</f>
        <v>0</v>
      </c>
      <c r="BD409" s="30">
        <f>IF(BA409&gt;0,Y409-BA409,BA409)</f>
        <v>0</v>
      </c>
      <c r="BE409" s="31">
        <v>8</v>
      </c>
      <c r="BF409" s="30" t="s">
        <v>57</v>
      </c>
      <c r="BG409" s="31">
        <f>BE409*Q409</f>
        <v>0</v>
      </c>
      <c r="BH409" s="31">
        <f>BE409*R409*0.4</f>
        <v>0</v>
      </c>
      <c r="BI409" s="31"/>
      <c r="BJ409" s="31"/>
      <c r="BK409" s="32">
        <f>Y409*BE409</f>
        <v>0</v>
      </c>
      <c r="BL409" s="25">
        <v>60</v>
      </c>
      <c r="BM409" s="25">
        <v>60</v>
      </c>
      <c r="BN409" s="25">
        <v>60</v>
      </c>
      <c r="BO409" s="25">
        <v>60</v>
      </c>
      <c r="BP409" s="25">
        <f>BE409*AV409</f>
        <v>0</v>
      </c>
      <c r="BQ409" s="25">
        <f>BE409*AX409</f>
        <v>0</v>
      </c>
      <c r="BR409" s="26"/>
      <c r="BS409" s="32"/>
    </row>
    <row r="410" spans="1:71" s="6" customFormat="1" ht="41.25" customHeight="1">
      <c r="A410" s="18">
        <v>407</v>
      </c>
      <c r="B410" s="18" t="s">
        <v>87</v>
      </c>
      <c r="C410" s="18" t="s">
        <v>172</v>
      </c>
      <c r="D410" s="47" t="s">
        <v>89</v>
      </c>
      <c r="E410" s="20" t="s">
        <v>839</v>
      </c>
      <c r="F410" s="71" t="s">
        <v>281</v>
      </c>
      <c r="G410" s="71"/>
      <c r="H410" s="22"/>
      <c r="I410" s="22" t="s">
        <v>840</v>
      </c>
      <c r="J410" s="22"/>
      <c r="K410" s="22"/>
      <c r="L410" s="20" t="s">
        <v>53</v>
      </c>
      <c r="M410" s="22"/>
      <c r="N410" s="22" t="s">
        <v>841</v>
      </c>
      <c r="O410" s="23" t="s">
        <v>842</v>
      </c>
      <c r="P410" s="18" t="s">
        <v>56</v>
      </c>
      <c r="Q410" s="72"/>
      <c r="R410" s="72"/>
      <c r="S410" s="25">
        <v>200</v>
      </c>
      <c r="T410" s="26"/>
      <c r="U410" s="26"/>
      <c r="V410" s="25"/>
      <c r="W410" s="26"/>
      <c r="X410" s="25"/>
      <c r="Y410" s="26">
        <f>T410+R410+Q410+U410+W410</f>
        <v>0</v>
      </c>
      <c r="Z410" s="27">
        <v>200</v>
      </c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>
        <f>SUM(AM410:AS410)</f>
        <v>0</v>
      </c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72">
        <f>Y410-AV410-AX410-AW410</f>
        <v>0</v>
      </c>
      <c r="AZ410" s="68"/>
      <c r="BA410" s="26">
        <f>AL410+AG410+AA410+AT410</f>
        <v>0</v>
      </c>
      <c r="BB410" s="30">
        <f>BD410+AO410+AG410</f>
        <v>0</v>
      </c>
      <c r="BC410" s="30">
        <f>BD410+AS410</f>
        <v>0</v>
      </c>
      <c r="BD410" s="30">
        <f>IF(BA410&gt;0,Y410-BA410,BA410)</f>
        <v>0</v>
      </c>
      <c r="BE410" s="31">
        <v>30</v>
      </c>
      <c r="BF410" s="30" t="s">
        <v>57</v>
      </c>
      <c r="BG410" s="31">
        <f>BE410*Q410</f>
        <v>0</v>
      </c>
      <c r="BH410" s="31">
        <f>BE410*R410*0.4</f>
        <v>0</v>
      </c>
      <c r="BI410" s="142"/>
      <c r="BJ410" s="142"/>
      <c r="BK410" s="32">
        <f>Y410*BE410</f>
        <v>0</v>
      </c>
      <c r="BL410" s="25"/>
      <c r="BM410" s="25"/>
      <c r="BN410" s="25"/>
      <c r="BO410" s="25"/>
      <c r="BP410" s="25">
        <f>BE410*AV410</f>
        <v>0</v>
      </c>
      <c r="BQ410" s="25">
        <f>BE410*AX410</f>
        <v>0</v>
      </c>
      <c r="BR410" s="26"/>
      <c r="BS410" s="32"/>
    </row>
    <row r="411" spans="1:71" s="6" customFormat="1" ht="41.25" customHeight="1">
      <c r="A411" s="18">
        <v>408</v>
      </c>
      <c r="B411" s="18" t="s">
        <v>94</v>
      </c>
      <c r="C411" s="18" t="s">
        <v>95</v>
      </c>
      <c r="D411" s="18" t="s">
        <v>96</v>
      </c>
      <c r="E411" s="20" t="s">
        <v>843</v>
      </c>
      <c r="F411" s="48" t="s">
        <v>98</v>
      </c>
      <c r="G411" s="48"/>
      <c r="H411" s="22"/>
      <c r="I411" s="22"/>
      <c r="J411" s="22"/>
      <c r="K411" s="22"/>
      <c r="L411" s="20" t="s">
        <v>53</v>
      </c>
      <c r="M411" s="22"/>
      <c r="N411" s="22" t="s">
        <v>841</v>
      </c>
      <c r="O411" s="23"/>
      <c r="P411" s="18" t="s">
        <v>56</v>
      </c>
      <c r="Q411" s="72"/>
      <c r="R411" s="72"/>
      <c r="S411" s="25">
        <v>60</v>
      </c>
      <c r="T411" s="26"/>
      <c r="U411" s="26"/>
      <c r="V411" s="25">
        <v>60</v>
      </c>
      <c r="W411" s="26"/>
      <c r="X411" s="25">
        <v>60</v>
      </c>
      <c r="Y411" s="26">
        <f>T411+R411+Q411+U411+W411</f>
        <v>0</v>
      </c>
      <c r="Z411" s="27">
        <v>420</v>
      </c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>
        <f>SUM(AM411:AS411)</f>
        <v>0</v>
      </c>
      <c r="AM411" s="26"/>
      <c r="AN411" s="26"/>
      <c r="AO411" s="26"/>
      <c r="AP411" s="26"/>
      <c r="AQ411" s="26"/>
      <c r="AR411" s="26"/>
      <c r="AS411" s="26"/>
      <c r="AT411" s="28"/>
      <c r="AU411" s="28"/>
      <c r="AV411" s="26"/>
      <c r="AW411" s="26"/>
      <c r="AX411" s="28"/>
      <c r="AY411" s="72">
        <f>Y411-AV411-AX411-AW411</f>
        <v>0</v>
      </c>
      <c r="AZ411" s="68"/>
      <c r="BA411" s="26">
        <f>AL411+AG411+AA411+AT411</f>
        <v>0</v>
      </c>
      <c r="BB411" s="30">
        <f>BD411+AO411+AG411</f>
        <v>0</v>
      </c>
      <c r="BC411" s="30">
        <f>BD411+AS411</f>
        <v>0</v>
      </c>
      <c r="BD411" s="30">
        <f>IF(BA411&gt;0,Y411-BA411,BA411)</f>
        <v>0</v>
      </c>
      <c r="BE411" s="31">
        <v>5</v>
      </c>
      <c r="BF411" s="30" t="s">
        <v>57</v>
      </c>
      <c r="BG411" s="31">
        <f>BE411*Q411</f>
        <v>0</v>
      </c>
      <c r="BH411" s="31">
        <f>BE411*R411*0.4</f>
        <v>0</v>
      </c>
      <c r="BI411" s="142"/>
      <c r="BJ411" s="142"/>
      <c r="BK411" s="32">
        <f>Y411*BE411</f>
        <v>0</v>
      </c>
      <c r="BL411" s="25">
        <v>60</v>
      </c>
      <c r="BM411" s="25">
        <v>60</v>
      </c>
      <c r="BN411" s="25">
        <v>60</v>
      </c>
      <c r="BO411" s="25">
        <v>60</v>
      </c>
      <c r="BP411" s="25">
        <f>BE411*AV411</f>
        <v>0</v>
      </c>
      <c r="BQ411" s="25">
        <f>BE411*AX411</f>
        <v>0</v>
      </c>
      <c r="BR411" s="26"/>
      <c r="BS411" s="32"/>
    </row>
    <row r="412" spans="1:71" s="6" customFormat="1" ht="41.25" customHeight="1">
      <c r="A412" s="18">
        <v>409</v>
      </c>
      <c r="B412" s="18" t="s">
        <v>87</v>
      </c>
      <c r="C412" s="65" t="s">
        <v>125</v>
      </c>
      <c r="D412" s="47" t="s">
        <v>89</v>
      </c>
      <c r="E412" s="22" t="s">
        <v>849</v>
      </c>
      <c r="F412" s="19" t="s">
        <v>197</v>
      </c>
      <c r="G412" s="19"/>
      <c r="H412" s="22"/>
      <c r="I412" s="22" t="s">
        <v>850</v>
      </c>
      <c r="J412" s="22"/>
      <c r="K412" s="22"/>
      <c r="L412" s="22"/>
      <c r="M412" s="22"/>
      <c r="N412" s="22" t="s">
        <v>847</v>
      </c>
      <c r="O412" s="23" t="s">
        <v>848</v>
      </c>
      <c r="P412" s="18" t="s">
        <v>56</v>
      </c>
      <c r="Q412" s="72"/>
      <c r="R412" s="72"/>
      <c r="S412" s="25">
        <v>200</v>
      </c>
      <c r="T412" s="26"/>
      <c r="U412" s="26"/>
      <c r="V412" s="25"/>
      <c r="W412" s="26"/>
      <c r="X412" s="25"/>
      <c r="Y412" s="26">
        <f>T412+R412+Q412+U412+W412</f>
        <v>0</v>
      </c>
      <c r="Z412" s="27">
        <v>200</v>
      </c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>
        <f>SUM(AM412:AS412)</f>
        <v>0</v>
      </c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72">
        <f>Y412-AV412-AX412-AW412</f>
        <v>0</v>
      </c>
      <c r="AZ412" s="68"/>
      <c r="BA412" s="26">
        <f>AL412+AG412+AA412+AT412</f>
        <v>0</v>
      </c>
      <c r="BB412" s="30">
        <f>BD412+AO412+AG412</f>
        <v>0</v>
      </c>
      <c r="BC412" s="30">
        <f>BD412+AS412</f>
        <v>0</v>
      </c>
      <c r="BD412" s="30">
        <f>IF(BA412&gt;0,Y412-BA412,BA412)</f>
        <v>0</v>
      </c>
      <c r="BE412" s="31">
        <v>3.75</v>
      </c>
      <c r="BF412" s="30" t="s">
        <v>57</v>
      </c>
      <c r="BG412" s="31">
        <f>BE412*Q412</f>
        <v>0</v>
      </c>
      <c r="BH412" s="31">
        <f>BE412*R412*0.4</f>
        <v>0</v>
      </c>
      <c r="BI412" s="31"/>
      <c r="BJ412" s="31"/>
      <c r="BK412" s="32">
        <f>Y412*BE412</f>
        <v>0</v>
      </c>
      <c r="BL412" s="25"/>
      <c r="BM412" s="25"/>
      <c r="BN412" s="25"/>
      <c r="BO412" s="25"/>
      <c r="BP412" s="25">
        <f>BE412*AV412</f>
        <v>0</v>
      </c>
      <c r="BQ412" s="25">
        <f>BE412*AX412</f>
        <v>0</v>
      </c>
      <c r="BR412" s="26"/>
      <c r="BS412" s="32"/>
    </row>
    <row r="413" spans="1:71" s="6" customFormat="1" ht="41.25" customHeight="1">
      <c r="A413" s="18">
        <v>410</v>
      </c>
      <c r="B413" s="18" t="s">
        <v>94</v>
      </c>
      <c r="C413" s="18" t="s">
        <v>95</v>
      </c>
      <c r="D413" s="18" t="s">
        <v>96</v>
      </c>
      <c r="E413" s="20" t="s">
        <v>843</v>
      </c>
      <c r="F413" s="48" t="s">
        <v>98</v>
      </c>
      <c r="G413" s="48"/>
      <c r="H413" s="22"/>
      <c r="I413" s="22"/>
      <c r="J413" s="22"/>
      <c r="K413" s="22"/>
      <c r="L413" s="20" t="s">
        <v>53</v>
      </c>
      <c r="M413" s="22"/>
      <c r="N413" s="22" t="s">
        <v>853</v>
      </c>
      <c r="O413" s="23"/>
      <c r="P413" s="18" t="s">
        <v>56</v>
      </c>
      <c r="Q413" s="72"/>
      <c r="R413" s="72"/>
      <c r="S413" s="25">
        <v>60</v>
      </c>
      <c r="T413" s="26"/>
      <c r="U413" s="26"/>
      <c r="V413" s="25">
        <v>60</v>
      </c>
      <c r="W413" s="26"/>
      <c r="X413" s="25">
        <v>40</v>
      </c>
      <c r="Y413" s="26">
        <f>T413+R413+Q413+U413+W413</f>
        <v>0</v>
      </c>
      <c r="Z413" s="27">
        <v>420</v>
      </c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>
        <f>SUM(AM413:AS413)</f>
        <v>0</v>
      </c>
      <c r="AM413" s="26"/>
      <c r="AN413" s="26"/>
      <c r="AO413" s="26"/>
      <c r="AP413" s="26"/>
      <c r="AQ413" s="26"/>
      <c r="AR413" s="26"/>
      <c r="AS413" s="26"/>
      <c r="AT413" s="28"/>
      <c r="AU413" s="28"/>
      <c r="AV413" s="26"/>
      <c r="AW413" s="26"/>
      <c r="AX413" s="28"/>
      <c r="AY413" s="72">
        <f>Y413-AV413-AX413-AW413</f>
        <v>0</v>
      </c>
      <c r="AZ413" s="68"/>
      <c r="BA413" s="26">
        <f>AL413+AG413+AA413+AT413</f>
        <v>0</v>
      </c>
      <c r="BB413" s="30">
        <f>BD413+AO413+AG413</f>
        <v>0</v>
      </c>
      <c r="BC413" s="30">
        <f>BD413+AS413</f>
        <v>0</v>
      </c>
      <c r="BD413" s="30">
        <f>IF(BA413&gt;0,Y413-BA413,BA413)</f>
        <v>0</v>
      </c>
      <c r="BE413" s="31">
        <v>5</v>
      </c>
      <c r="BF413" s="30" t="s">
        <v>57</v>
      </c>
      <c r="BG413" s="31">
        <f>BE413*Q413</f>
        <v>0</v>
      </c>
      <c r="BH413" s="31">
        <f>BE413*R413*0.4</f>
        <v>0</v>
      </c>
      <c r="BI413" s="142"/>
      <c r="BJ413" s="142"/>
      <c r="BK413" s="32">
        <f>Y413*BE413</f>
        <v>0</v>
      </c>
      <c r="BL413" s="25">
        <v>40</v>
      </c>
      <c r="BM413" s="25">
        <v>40</v>
      </c>
      <c r="BN413" s="25">
        <v>40</v>
      </c>
      <c r="BO413" s="25">
        <v>40</v>
      </c>
      <c r="BP413" s="25">
        <f>BE413*AV413</f>
        <v>0</v>
      </c>
      <c r="BQ413" s="25">
        <f>BE413*AX413</f>
        <v>0</v>
      </c>
      <c r="BR413" s="26"/>
      <c r="BS413" s="32"/>
    </row>
    <row r="414" spans="1:71" s="6" customFormat="1" ht="41.25" customHeight="1">
      <c r="A414" s="18">
        <v>411</v>
      </c>
      <c r="B414" s="18" t="s">
        <v>87</v>
      </c>
      <c r="C414" s="18" t="s">
        <v>88</v>
      </c>
      <c r="D414" s="47" t="s">
        <v>89</v>
      </c>
      <c r="E414" s="22" t="s">
        <v>854</v>
      </c>
      <c r="F414" s="36" t="s">
        <v>70</v>
      </c>
      <c r="G414" s="36"/>
      <c r="H414" s="22"/>
      <c r="I414" s="37" t="s">
        <v>855</v>
      </c>
      <c r="J414" s="37"/>
      <c r="K414" s="37"/>
      <c r="L414" s="22"/>
      <c r="M414" s="22"/>
      <c r="N414" s="22" t="s">
        <v>856</v>
      </c>
      <c r="O414" s="23" t="s">
        <v>857</v>
      </c>
      <c r="P414" s="18" t="s">
        <v>56</v>
      </c>
      <c r="Q414" s="72"/>
      <c r="R414" s="72"/>
      <c r="S414" s="25">
        <v>10</v>
      </c>
      <c r="T414" s="26"/>
      <c r="U414" s="26"/>
      <c r="V414" s="25"/>
      <c r="W414" s="26"/>
      <c r="X414" s="25"/>
      <c r="Y414" s="26">
        <f>T414+R414+Q414+U414+W414</f>
        <v>0</v>
      </c>
      <c r="Z414" s="27">
        <v>10</v>
      </c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>
        <f>SUM(AM414:AS414)</f>
        <v>0</v>
      </c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72">
        <f>Y414-AV414-AX414-AW414</f>
        <v>0</v>
      </c>
      <c r="AZ414" s="68"/>
      <c r="BA414" s="26">
        <f>AL414+AG414+AA414+AT414</f>
        <v>0</v>
      </c>
      <c r="BB414" s="30">
        <f>BD414+AO414+AG414</f>
        <v>0</v>
      </c>
      <c r="BC414" s="30">
        <f>BD414+AS414</f>
        <v>0</v>
      </c>
      <c r="BD414" s="30">
        <f>IF(BA414&gt;0,Y414-BA414,BA414)</f>
        <v>0</v>
      </c>
      <c r="BE414" s="31">
        <v>690</v>
      </c>
      <c r="BF414" s="30" t="s">
        <v>57</v>
      </c>
      <c r="BG414" s="31">
        <f>BE414*Q414</f>
        <v>0</v>
      </c>
      <c r="BH414" s="31">
        <f>BE414*R414*0.4</f>
        <v>0</v>
      </c>
      <c r="BI414" s="142"/>
      <c r="BJ414" s="142"/>
      <c r="BK414" s="32">
        <f>Y414*BE414</f>
        <v>0</v>
      </c>
      <c r="BL414" s="25"/>
      <c r="BM414" s="25"/>
      <c r="BN414" s="25"/>
      <c r="BO414" s="25"/>
      <c r="BP414" s="25">
        <f>BE414*AV414</f>
        <v>0</v>
      </c>
      <c r="BQ414" s="25">
        <f>BE414*AX414</f>
        <v>0</v>
      </c>
      <c r="BR414" s="26"/>
      <c r="BS414" s="32"/>
    </row>
    <row r="415" spans="1:71" s="6" customFormat="1" ht="41.25" customHeight="1">
      <c r="A415" s="18">
        <v>412</v>
      </c>
      <c r="B415" s="18" t="s">
        <v>94</v>
      </c>
      <c r="C415" s="18" t="s">
        <v>144</v>
      </c>
      <c r="D415" s="18" t="s">
        <v>96</v>
      </c>
      <c r="E415" s="20" t="s">
        <v>858</v>
      </c>
      <c r="F415" s="58" t="s">
        <v>146</v>
      </c>
      <c r="G415" s="58"/>
      <c r="H415" s="22"/>
      <c r="I415" s="22"/>
      <c r="J415" s="22"/>
      <c r="K415" s="22"/>
      <c r="L415" s="20" t="s">
        <v>53</v>
      </c>
      <c r="M415" s="22"/>
      <c r="N415" s="22" t="s">
        <v>859</v>
      </c>
      <c r="O415" s="23"/>
      <c r="P415" s="38" t="s">
        <v>56</v>
      </c>
      <c r="Q415" s="29">
        <v>52</v>
      </c>
      <c r="R415" s="72"/>
      <c r="S415" s="40">
        <v>60</v>
      </c>
      <c r="T415" s="26"/>
      <c r="U415" s="26"/>
      <c r="V415" s="25">
        <v>60</v>
      </c>
      <c r="W415" s="26"/>
      <c r="X415" s="25">
        <v>60</v>
      </c>
      <c r="Y415" s="53">
        <f>T415+R415+Q415+U415+W415</f>
        <v>52</v>
      </c>
      <c r="Z415" s="27">
        <v>420</v>
      </c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>
        <f>SUM(AM415:AS415)</f>
        <v>0</v>
      </c>
      <c r="AM415" s="26"/>
      <c r="AN415" s="26"/>
      <c r="AO415" s="26"/>
      <c r="AP415" s="26"/>
      <c r="AQ415" s="26"/>
      <c r="AR415" s="26"/>
      <c r="AS415" s="26"/>
      <c r="AT415" s="28"/>
      <c r="AU415" s="28"/>
      <c r="AV415" s="26"/>
      <c r="AW415" s="26"/>
      <c r="AX415" s="28"/>
      <c r="AY415" s="29">
        <f>Y415-AV415-AX415-AW415</f>
        <v>52</v>
      </c>
      <c r="AZ415" s="29"/>
      <c r="BA415" s="26">
        <f>AL415+AG415+AA415+AT415</f>
        <v>0</v>
      </c>
      <c r="BB415" s="30">
        <f>BD415+AO415+AG415</f>
        <v>0</v>
      </c>
      <c r="BC415" s="30">
        <f>BD415+AS415</f>
        <v>0</v>
      </c>
      <c r="BD415" s="30">
        <f>IF(BA415&gt;0,Y415-BA415,BA415)</f>
        <v>0</v>
      </c>
      <c r="BE415" s="31">
        <v>24</v>
      </c>
      <c r="BF415" s="30" t="s">
        <v>57</v>
      </c>
      <c r="BG415" s="31">
        <f>BE415*Q415</f>
        <v>1248</v>
      </c>
      <c r="BH415" s="31">
        <f>BE415*R415*0.4</f>
        <v>0</v>
      </c>
      <c r="BI415" s="142"/>
      <c r="BJ415" s="142"/>
      <c r="BK415" s="32">
        <f>Y415*BE415</f>
        <v>1248</v>
      </c>
      <c r="BL415" s="25">
        <v>60</v>
      </c>
      <c r="BM415" s="25">
        <v>60</v>
      </c>
      <c r="BN415" s="25">
        <v>60</v>
      </c>
      <c r="BO415" s="25">
        <v>60</v>
      </c>
      <c r="BP415" s="25">
        <f>BE415*AV415</f>
        <v>0</v>
      </c>
      <c r="BQ415" s="25">
        <f>BE415*AX415</f>
        <v>0</v>
      </c>
      <c r="BR415" s="26"/>
      <c r="BS415" s="32"/>
    </row>
    <row r="416" spans="1:71" s="6" customFormat="1" ht="41.25" customHeight="1">
      <c r="A416" s="18">
        <v>413</v>
      </c>
      <c r="B416" s="18" t="s">
        <v>87</v>
      </c>
      <c r="C416" s="65" t="s">
        <v>125</v>
      </c>
      <c r="D416" s="47" t="s">
        <v>89</v>
      </c>
      <c r="E416" s="20" t="s">
        <v>849</v>
      </c>
      <c r="F416" s="21" t="s">
        <v>52</v>
      </c>
      <c r="G416" s="21"/>
      <c r="H416" s="22"/>
      <c r="I416" s="22" t="s">
        <v>345</v>
      </c>
      <c r="J416" s="22"/>
      <c r="K416" s="22"/>
      <c r="L416" s="20" t="s">
        <v>53</v>
      </c>
      <c r="M416" s="22"/>
      <c r="N416" s="22" t="s">
        <v>862</v>
      </c>
      <c r="O416" s="23" t="s">
        <v>863</v>
      </c>
      <c r="P416" s="18" t="s">
        <v>56</v>
      </c>
      <c r="Q416" s="72"/>
      <c r="R416" s="72"/>
      <c r="S416" s="25">
        <v>200</v>
      </c>
      <c r="T416" s="26"/>
      <c r="U416" s="26"/>
      <c r="V416" s="25"/>
      <c r="W416" s="26"/>
      <c r="X416" s="25"/>
      <c r="Y416" s="26">
        <f>T416+R416+Q416+U416+W416</f>
        <v>0</v>
      </c>
      <c r="Z416" s="27">
        <v>200</v>
      </c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>
        <f>SUM(AM416:AS416)</f>
        <v>0</v>
      </c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72">
        <f>Y416-AV416-AX416-AW416</f>
        <v>0</v>
      </c>
      <c r="AZ416" s="68"/>
      <c r="BA416" s="26">
        <f>AL416+AG416+AA416+AT416</f>
        <v>0</v>
      </c>
      <c r="BB416" s="30">
        <f>BD416+AO416+AG416</f>
        <v>0</v>
      </c>
      <c r="BC416" s="30">
        <f>BD416+AS416</f>
        <v>0</v>
      </c>
      <c r="BD416" s="30">
        <f>IF(BA416&gt;0,Y416-BA416,BA416)</f>
        <v>0</v>
      </c>
      <c r="BE416" s="31">
        <v>3.75</v>
      </c>
      <c r="BF416" s="30" t="s">
        <v>57</v>
      </c>
      <c r="BG416" s="31">
        <f>BE416*Q416</f>
        <v>0</v>
      </c>
      <c r="BH416" s="31">
        <f>BE416*R416*0.4</f>
        <v>0</v>
      </c>
      <c r="BI416" s="142"/>
      <c r="BJ416" s="142"/>
      <c r="BK416" s="32">
        <f>Y416*BE416</f>
        <v>0</v>
      </c>
      <c r="BL416" s="25"/>
      <c r="BM416" s="25"/>
      <c r="BN416" s="25"/>
      <c r="BO416" s="25"/>
      <c r="BP416" s="25">
        <f>BE416*AV416</f>
        <v>0</v>
      </c>
      <c r="BQ416" s="25">
        <f>BE416*AX416</f>
        <v>0</v>
      </c>
      <c r="BR416" s="26"/>
      <c r="BS416" s="32"/>
    </row>
    <row r="417" spans="1:71" s="6" customFormat="1" ht="41.25" customHeight="1">
      <c r="A417" s="18">
        <v>414</v>
      </c>
      <c r="B417" s="18" t="s">
        <v>58</v>
      </c>
      <c r="C417" s="33" t="s">
        <v>59</v>
      </c>
      <c r="D417" s="34" t="s">
        <v>60</v>
      </c>
      <c r="E417" s="20" t="s">
        <v>766</v>
      </c>
      <c r="F417" s="34" t="s">
        <v>62</v>
      </c>
      <c r="G417" s="22"/>
      <c r="H417" s="22"/>
      <c r="I417" s="22"/>
      <c r="J417" s="22"/>
      <c r="K417" s="22"/>
      <c r="L417" s="20" t="s">
        <v>53</v>
      </c>
      <c r="M417" s="22"/>
      <c r="N417" s="22" t="s">
        <v>872</v>
      </c>
      <c r="O417" s="23"/>
      <c r="P417" s="18" t="s">
        <v>65</v>
      </c>
      <c r="Q417" s="72"/>
      <c r="R417" s="72"/>
      <c r="S417" s="35">
        <v>5</v>
      </c>
      <c r="T417" s="26"/>
      <c r="U417" s="26"/>
      <c r="V417" s="35">
        <v>5</v>
      </c>
      <c r="W417" s="154"/>
      <c r="X417" s="35">
        <v>5</v>
      </c>
      <c r="Y417" s="26">
        <f>T417+R417+Q417+U417+W417</f>
        <v>0</v>
      </c>
      <c r="Z417" s="27">
        <v>35</v>
      </c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>
        <f>SUM(AM417:AS417)</f>
        <v>0</v>
      </c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72">
        <f>Y417-AV417-AX417-AW417</f>
        <v>0</v>
      </c>
      <c r="AZ417" s="68"/>
      <c r="BA417" s="26">
        <f>AL417+AG417+AA417+AT417</f>
        <v>0</v>
      </c>
      <c r="BB417" s="30">
        <f>BD417+AO417+AG417</f>
        <v>0</v>
      </c>
      <c r="BC417" s="30">
        <f>BD417+AS417</f>
        <v>0</v>
      </c>
      <c r="BD417" s="30">
        <f>IF(BA417&gt;0,Y417-BA417,BA417)</f>
        <v>0</v>
      </c>
      <c r="BE417" s="31">
        <v>56</v>
      </c>
      <c r="BF417" s="30" t="s">
        <v>57</v>
      </c>
      <c r="BG417" s="31">
        <f>BE417*Q417</f>
        <v>0</v>
      </c>
      <c r="BH417" s="31">
        <f>BE417*R417*0.4</f>
        <v>0</v>
      </c>
      <c r="BI417" s="142"/>
      <c r="BJ417" s="142"/>
      <c r="BK417" s="32">
        <f>Y417*BE417</f>
        <v>0</v>
      </c>
      <c r="BL417" s="35">
        <v>5</v>
      </c>
      <c r="BM417" s="35">
        <v>5</v>
      </c>
      <c r="BN417" s="35">
        <v>5</v>
      </c>
      <c r="BO417" s="35">
        <v>5</v>
      </c>
      <c r="BP417" s="25">
        <f>BE417*AV417</f>
        <v>0</v>
      </c>
      <c r="BQ417" s="25">
        <f>BE417*AX417</f>
        <v>0</v>
      </c>
      <c r="BR417" s="26"/>
      <c r="BS417" s="32"/>
    </row>
    <row r="418" spans="1:71" s="6" customFormat="1" ht="41.25" customHeight="1">
      <c r="A418" s="18">
        <v>415</v>
      </c>
      <c r="B418" s="18" t="s">
        <v>94</v>
      </c>
      <c r="C418" s="18" t="s">
        <v>200</v>
      </c>
      <c r="D418" s="18" t="s">
        <v>96</v>
      </c>
      <c r="E418" s="20" t="s">
        <v>837</v>
      </c>
      <c r="F418" s="48" t="s">
        <v>98</v>
      </c>
      <c r="G418" s="48"/>
      <c r="H418" s="22"/>
      <c r="I418" s="22"/>
      <c r="J418" s="22"/>
      <c r="K418" s="22"/>
      <c r="L418" s="20" t="s">
        <v>53</v>
      </c>
      <c r="M418" s="22"/>
      <c r="N418" s="22" t="s">
        <v>885</v>
      </c>
      <c r="O418" s="23"/>
      <c r="P418" s="18" t="s">
        <v>56</v>
      </c>
      <c r="Q418" s="72"/>
      <c r="R418" s="72"/>
      <c r="S418" s="25">
        <v>40</v>
      </c>
      <c r="T418" s="26"/>
      <c r="U418" s="26"/>
      <c r="V418" s="25">
        <v>40</v>
      </c>
      <c r="W418" s="26"/>
      <c r="X418" s="25">
        <v>40</v>
      </c>
      <c r="Y418" s="26">
        <f>T418+R418+Q418+U418+W418</f>
        <v>0</v>
      </c>
      <c r="Z418" s="27">
        <v>280</v>
      </c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>
        <f>SUM(AM418:AS418)</f>
        <v>0</v>
      </c>
      <c r="AM418" s="26"/>
      <c r="AN418" s="26"/>
      <c r="AO418" s="26"/>
      <c r="AP418" s="26"/>
      <c r="AQ418" s="26"/>
      <c r="AR418" s="26"/>
      <c r="AS418" s="26"/>
      <c r="AT418" s="28"/>
      <c r="AU418" s="28"/>
      <c r="AV418" s="26"/>
      <c r="AW418" s="26"/>
      <c r="AX418" s="28"/>
      <c r="AY418" s="72">
        <f>Y418-AV418-AX418-AW418</f>
        <v>0</v>
      </c>
      <c r="AZ418" s="68"/>
      <c r="BA418" s="26">
        <f>AL418+AG418+AA418+AT418</f>
        <v>0</v>
      </c>
      <c r="BB418" s="30">
        <f>BD418+AO418+AG418</f>
        <v>0</v>
      </c>
      <c r="BC418" s="30">
        <f>BD418+AS418</f>
        <v>0</v>
      </c>
      <c r="BD418" s="30">
        <f>IF(BA418&gt;0,Y418-BA418,BA418)</f>
        <v>0</v>
      </c>
      <c r="BE418" s="31">
        <v>8</v>
      </c>
      <c r="BF418" s="30" t="s">
        <v>57</v>
      </c>
      <c r="BG418" s="31">
        <f>BE418*Q418</f>
        <v>0</v>
      </c>
      <c r="BH418" s="31">
        <f>BE418*R418*0.4</f>
        <v>0</v>
      </c>
      <c r="BI418" s="142"/>
      <c r="BJ418" s="142"/>
      <c r="BK418" s="32">
        <f>Y418*BE418</f>
        <v>0</v>
      </c>
      <c r="BL418" s="25">
        <v>40</v>
      </c>
      <c r="BM418" s="25">
        <v>40</v>
      </c>
      <c r="BN418" s="25">
        <v>40</v>
      </c>
      <c r="BO418" s="25">
        <v>40</v>
      </c>
      <c r="BP418" s="25">
        <f>BE418*AV418</f>
        <v>0</v>
      </c>
      <c r="BQ418" s="25">
        <f>BE418*AX418</f>
        <v>0</v>
      </c>
      <c r="BR418" s="26"/>
      <c r="BS418" s="32"/>
    </row>
    <row r="419" spans="1:71" s="6" customFormat="1" ht="41.25" customHeight="1">
      <c r="A419" s="18">
        <v>416</v>
      </c>
      <c r="B419" s="18" t="s">
        <v>94</v>
      </c>
      <c r="C419" s="18" t="s">
        <v>200</v>
      </c>
      <c r="D419" s="18" t="s">
        <v>96</v>
      </c>
      <c r="E419" s="20" t="s">
        <v>886</v>
      </c>
      <c r="F419" s="48" t="s">
        <v>98</v>
      </c>
      <c r="G419" s="48"/>
      <c r="H419" s="22"/>
      <c r="I419" s="22"/>
      <c r="J419" s="22"/>
      <c r="K419" s="22"/>
      <c r="L419" s="20" t="s">
        <v>53</v>
      </c>
      <c r="M419" s="22"/>
      <c r="N419" s="22" t="s">
        <v>887</v>
      </c>
      <c r="O419" s="23"/>
      <c r="P419" s="18" t="s">
        <v>56</v>
      </c>
      <c r="Q419" s="72"/>
      <c r="R419" s="72"/>
      <c r="S419" s="25">
        <v>40</v>
      </c>
      <c r="T419" s="26"/>
      <c r="U419" s="26"/>
      <c r="V419" s="25">
        <v>40</v>
      </c>
      <c r="W419" s="26"/>
      <c r="X419" s="25">
        <v>40</v>
      </c>
      <c r="Y419" s="26">
        <f>T419+R419+Q419+U419+W419</f>
        <v>0</v>
      </c>
      <c r="Z419" s="27">
        <v>280</v>
      </c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>
        <f>SUM(AM419:AS419)</f>
        <v>0</v>
      </c>
      <c r="AM419" s="26"/>
      <c r="AN419" s="26"/>
      <c r="AO419" s="26"/>
      <c r="AP419" s="26"/>
      <c r="AQ419" s="26"/>
      <c r="AR419" s="26"/>
      <c r="AS419" s="26"/>
      <c r="AT419" s="28"/>
      <c r="AU419" s="28"/>
      <c r="AV419" s="26"/>
      <c r="AW419" s="26"/>
      <c r="AX419" s="28"/>
      <c r="AY419" s="72">
        <f>Y419-AV419-AX419-AW419</f>
        <v>0</v>
      </c>
      <c r="AZ419" s="68"/>
      <c r="BA419" s="26">
        <f>AL419+AG419+AA419+AT419</f>
        <v>0</v>
      </c>
      <c r="BB419" s="30">
        <f>BD419+AO419+AG419</f>
        <v>0</v>
      </c>
      <c r="BC419" s="30">
        <f>BD419+AS419</f>
        <v>0</v>
      </c>
      <c r="BD419" s="30">
        <f>IF(BA419&gt;0,Y419-BA419,BA419)</f>
        <v>0</v>
      </c>
      <c r="BE419" s="31">
        <v>8</v>
      </c>
      <c r="BF419" s="30" t="s">
        <v>57</v>
      </c>
      <c r="BG419" s="31">
        <f>BE419*Q419</f>
        <v>0</v>
      </c>
      <c r="BH419" s="31">
        <f>BE419*R419*0.4</f>
        <v>0</v>
      </c>
      <c r="BI419" s="142"/>
      <c r="BJ419" s="142"/>
      <c r="BK419" s="32">
        <f>Y419*BE419</f>
        <v>0</v>
      </c>
      <c r="BL419" s="25">
        <v>40</v>
      </c>
      <c r="BM419" s="25">
        <v>40</v>
      </c>
      <c r="BN419" s="25">
        <v>40</v>
      </c>
      <c r="BO419" s="25">
        <v>40</v>
      </c>
      <c r="BP419" s="25">
        <f>BE419*AV419</f>
        <v>0</v>
      </c>
      <c r="BQ419" s="25">
        <f>BE419*AX419</f>
        <v>0</v>
      </c>
      <c r="BR419" s="26"/>
      <c r="BS419" s="32"/>
    </row>
    <row r="420" spans="1:71" s="6" customFormat="1" ht="41.25" customHeight="1">
      <c r="A420" s="18">
        <v>417</v>
      </c>
      <c r="B420" s="18" t="s">
        <v>94</v>
      </c>
      <c r="C420" s="18" t="s">
        <v>200</v>
      </c>
      <c r="D420" s="18" t="s">
        <v>96</v>
      </c>
      <c r="E420" s="20" t="s">
        <v>886</v>
      </c>
      <c r="F420" s="48" t="s">
        <v>98</v>
      </c>
      <c r="G420" s="48"/>
      <c r="H420" s="22"/>
      <c r="I420" s="22"/>
      <c r="J420" s="22"/>
      <c r="K420" s="22"/>
      <c r="L420" s="20" t="s">
        <v>53</v>
      </c>
      <c r="M420" s="22"/>
      <c r="N420" s="22" t="s">
        <v>888</v>
      </c>
      <c r="O420" s="23"/>
      <c r="P420" s="18" t="s">
        <v>56</v>
      </c>
      <c r="Q420" s="72"/>
      <c r="R420" s="72"/>
      <c r="S420" s="25">
        <v>40</v>
      </c>
      <c r="T420" s="26"/>
      <c r="U420" s="26"/>
      <c r="V420" s="25">
        <v>40</v>
      </c>
      <c r="W420" s="26"/>
      <c r="X420" s="25">
        <v>40</v>
      </c>
      <c r="Y420" s="26">
        <f>T420+R420+Q420+U420+W420</f>
        <v>0</v>
      </c>
      <c r="Z420" s="27">
        <v>280</v>
      </c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>
        <f>SUM(AM420:AS420)</f>
        <v>0</v>
      </c>
      <c r="AM420" s="26"/>
      <c r="AN420" s="26"/>
      <c r="AO420" s="26"/>
      <c r="AP420" s="26"/>
      <c r="AQ420" s="26"/>
      <c r="AR420" s="26"/>
      <c r="AS420" s="26"/>
      <c r="AT420" s="28"/>
      <c r="AU420" s="28"/>
      <c r="AV420" s="26"/>
      <c r="AW420" s="26"/>
      <c r="AX420" s="28"/>
      <c r="AY420" s="72">
        <f>Y420-AV420-AX420-AW420</f>
        <v>0</v>
      </c>
      <c r="AZ420" s="68"/>
      <c r="BA420" s="26">
        <f>AL420+AG420+AA420+AT420</f>
        <v>0</v>
      </c>
      <c r="BB420" s="30">
        <f>BD420+AO420+AG420</f>
        <v>0</v>
      </c>
      <c r="BC420" s="30">
        <f>BD420+AS420</f>
        <v>0</v>
      </c>
      <c r="BD420" s="30">
        <f>IF(BA420&gt;0,Y420-BA420,BA420)</f>
        <v>0</v>
      </c>
      <c r="BE420" s="31">
        <v>8</v>
      </c>
      <c r="BF420" s="30" t="s">
        <v>57</v>
      </c>
      <c r="BG420" s="31">
        <f>BE420*Q420</f>
        <v>0</v>
      </c>
      <c r="BH420" s="31">
        <f>BE420*R420*0.4</f>
        <v>0</v>
      </c>
      <c r="BI420" s="142"/>
      <c r="BJ420" s="142"/>
      <c r="BK420" s="32">
        <f>Y420*BE420</f>
        <v>0</v>
      </c>
      <c r="BL420" s="25">
        <v>40</v>
      </c>
      <c r="BM420" s="25">
        <v>40</v>
      </c>
      <c r="BN420" s="25">
        <v>40</v>
      </c>
      <c r="BO420" s="25">
        <v>40</v>
      </c>
      <c r="BP420" s="25">
        <f>BE420*AV420</f>
        <v>0</v>
      </c>
      <c r="BQ420" s="25">
        <f>BE420*AX420</f>
        <v>0</v>
      </c>
      <c r="BR420" s="26"/>
      <c r="BS420" s="32"/>
    </row>
    <row r="421" spans="1:71" s="6" customFormat="1" ht="41.25" customHeight="1">
      <c r="A421" s="18">
        <v>418</v>
      </c>
      <c r="B421" s="18" t="s">
        <v>94</v>
      </c>
      <c r="C421" s="18" t="s">
        <v>200</v>
      </c>
      <c r="D421" s="18" t="s">
        <v>96</v>
      </c>
      <c r="E421" s="20" t="s">
        <v>889</v>
      </c>
      <c r="F421" s="48" t="s">
        <v>98</v>
      </c>
      <c r="G421" s="48"/>
      <c r="H421" s="22"/>
      <c r="I421" s="22"/>
      <c r="J421" s="22"/>
      <c r="K421" s="22"/>
      <c r="L421" s="20" t="s">
        <v>53</v>
      </c>
      <c r="M421" s="22"/>
      <c r="N421" s="22" t="s">
        <v>890</v>
      </c>
      <c r="O421" s="23"/>
      <c r="P421" s="18" t="s">
        <v>56</v>
      </c>
      <c r="Q421" s="72"/>
      <c r="R421" s="72"/>
      <c r="S421" s="25">
        <v>40</v>
      </c>
      <c r="T421" s="26"/>
      <c r="U421" s="26"/>
      <c r="V421" s="25">
        <v>40</v>
      </c>
      <c r="W421" s="26"/>
      <c r="X421" s="25">
        <v>20</v>
      </c>
      <c r="Y421" s="26">
        <f>T421+R421+Q421+U421+W421</f>
        <v>0</v>
      </c>
      <c r="Z421" s="27">
        <v>280</v>
      </c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>
        <f>SUM(AM421:AS421)</f>
        <v>0</v>
      </c>
      <c r="AM421" s="26"/>
      <c r="AN421" s="26"/>
      <c r="AO421" s="26"/>
      <c r="AP421" s="26"/>
      <c r="AQ421" s="26"/>
      <c r="AR421" s="26"/>
      <c r="AS421" s="26"/>
      <c r="AT421" s="28"/>
      <c r="AU421" s="28"/>
      <c r="AV421" s="26"/>
      <c r="AW421" s="26"/>
      <c r="AX421" s="28"/>
      <c r="AY421" s="72">
        <f>Y421-AV421-AX421-AW421</f>
        <v>0</v>
      </c>
      <c r="AZ421" s="68"/>
      <c r="BA421" s="26">
        <f>AL421+AG421+AA421+AT421</f>
        <v>0</v>
      </c>
      <c r="BB421" s="30">
        <f>BD421+AO421+AG421</f>
        <v>0</v>
      </c>
      <c r="BC421" s="30">
        <f>BD421+AS421</f>
        <v>0</v>
      </c>
      <c r="BD421" s="30">
        <f>IF(BA421&gt;0,Y421-BA421,BA421)</f>
        <v>0</v>
      </c>
      <c r="BE421" s="31">
        <v>8</v>
      </c>
      <c r="BF421" s="30" t="s">
        <v>57</v>
      </c>
      <c r="BG421" s="31">
        <f>BE421*Q421</f>
        <v>0</v>
      </c>
      <c r="BH421" s="31">
        <f>BE421*R421*0.4</f>
        <v>0</v>
      </c>
      <c r="BI421" s="142"/>
      <c r="BJ421" s="142"/>
      <c r="BK421" s="32">
        <f>Y421*BE421</f>
        <v>0</v>
      </c>
      <c r="BL421" s="25">
        <v>20</v>
      </c>
      <c r="BM421" s="25">
        <v>20</v>
      </c>
      <c r="BN421" s="25">
        <v>20</v>
      </c>
      <c r="BO421" s="25">
        <v>20</v>
      </c>
      <c r="BP421" s="25">
        <f>BE421*AV421</f>
        <v>0</v>
      </c>
      <c r="BQ421" s="25">
        <f>BE421*AX421</f>
        <v>0</v>
      </c>
      <c r="BR421" s="26"/>
      <c r="BS421" s="32"/>
    </row>
    <row r="422" spans="1:71" s="6" customFormat="1" ht="41.25" customHeight="1">
      <c r="A422" s="18">
        <v>419</v>
      </c>
      <c r="B422" s="18" t="s">
        <v>58</v>
      </c>
      <c r="C422" s="33" t="s">
        <v>59</v>
      </c>
      <c r="D422" s="34" t="s">
        <v>60</v>
      </c>
      <c r="E422" s="20" t="s">
        <v>893</v>
      </c>
      <c r="F422" s="34" t="s">
        <v>62</v>
      </c>
      <c r="G422" s="22"/>
      <c r="H422" s="22"/>
      <c r="I422" s="22"/>
      <c r="J422" s="22"/>
      <c r="K422" s="22"/>
      <c r="L422" s="20" t="s">
        <v>53</v>
      </c>
      <c r="M422" s="22"/>
      <c r="N422" s="22" t="s">
        <v>894</v>
      </c>
      <c r="O422" s="23"/>
      <c r="P422" s="18" t="s">
        <v>65</v>
      </c>
      <c r="Q422" s="72"/>
      <c r="R422" s="72"/>
      <c r="S422" s="35">
        <v>30</v>
      </c>
      <c r="T422" s="26"/>
      <c r="U422" s="26"/>
      <c r="V422" s="35">
        <v>30</v>
      </c>
      <c r="W422" s="154"/>
      <c r="X422" s="35">
        <v>30</v>
      </c>
      <c r="Y422" s="26">
        <f>T422+R422+Q422+U422+W422</f>
        <v>0</v>
      </c>
      <c r="Z422" s="27">
        <v>210</v>
      </c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>
        <f>SUM(AM422:AS422)</f>
        <v>0</v>
      </c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72">
        <f>Y422-AV422-AX422-AW422</f>
        <v>0</v>
      </c>
      <c r="AZ422" s="68"/>
      <c r="BA422" s="26">
        <f>AL422+AG422+AA422+AT422</f>
        <v>0</v>
      </c>
      <c r="BB422" s="30">
        <f>BD422+AO422+AG422</f>
        <v>0</v>
      </c>
      <c r="BC422" s="30">
        <f>BD422+AS422</f>
        <v>0</v>
      </c>
      <c r="BD422" s="30">
        <f>IF(BA422&gt;0,Y422-BA422,BA422)</f>
        <v>0</v>
      </c>
      <c r="BE422" s="31">
        <v>37</v>
      </c>
      <c r="BF422" s="30" t="s">
        <v>57</v>
      </c>
      <c r="BG422" s="31">
        <f>BE422*Q422</f>
        <v>0</v>
      </c>
      <c r="BH422" s="31">
        <f>BE422*R422*0.4</f>
        <v>0</v>
      </c>
      <c r="BI422" s="142"/>
      <c r="BJ422" s="142"/>
      <c r="BK422" s="32">
        <f>Y422*BE422</f>
        <v>0</v>
      </c>
      <c r="BL422" s="35">
        <v>30</v>
      </c>
      <c r="BM422" s="35">
        <v>30</v>
      </c>
      <c r="BN422" s="35">
        <v>30</v>
      </c>
      <c r="BO422" s="35">
        <v>30</v>
      </c>
      <c r="BP422" s="25">
        <f>BE422*AV422</f>
        <v>0</v>
      </c>
      <c r="BQ422" s="25">
        <f>BE422*AX422</f>
        <v>0</v>
      </c>
      <c r="BR422" s="26"/>
      <c r="BS422" s="32"/>
    </row>
    <row r="423" spans="1:71" s="6" customFormat="1" ht="41.25" customHeight="1">
      <c r="A423" s="18">
        <v>420</v>
      </c>
      <c r="B423" s="18" t="s">
        <v>87</v>
      </c>
      <c r="C423" s="18" t="s">
        <v>88</v>
      </c>
      <c r="D423" s="47" t="s">
        <v>89</v>
      </c>
      <c r="E423" s="22" t="s">
        <v>854</v>
      </c>
      <c r="F423" s="36" t="s">
        <v>70</v>
      </c>
      <c r="G423" s="36"/>
      <c r="H423" s="22"/>
      <c r="I423" s="37" t="s">
        <v>895</v>
      </c>
      <c r="J423" s="37"/>
      <c r="K423" s="37"/>
      <c r="L423" s="22"/>
      <c r="M423" s="22"/>
      <c r="N423" s="22" t="s">
        <v>896</v>
      </c>
      <c r="O423" s="23" t="s">
        <v>897</v>
      </c>
      <c r="P423" s="18" t="s">
        <v>56</v>
      </c>
      <c r="Q423" s="29">
        <v>10</v>
      </c>
      <c r="R423" s="72"/>
      <c r="S423" s="25">
        <v>20</v>
      </c>
      <c r="T423" s="26"/>
      <c r="U423" s="26"/>
      <c r="V423" s="25"/>
      <c r="W423" s="26"/>
      <c r="X423" s="25"/>
      <c r="Y423" s="53">
        <f>T423+R423+Q423+U423+W423</f>
        <v>10</v>
      </c>
      <c r="Z423" s="27">
        <v>20</v>
      </c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>
        <f>SUM(AM423:AS423)</f>
        <v>0</v>
      </c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9">
        <f>Y423-AV423-AX423-AW423</f>
        <v>10</v>
      </c>
      <c r="AZ423" s="29"/>
      <c r="BA423" s="26">
        <f>AL423+AG423+AA423+AT423</f>
        <v>0</v>
      </c>
      <c r="BB423" s="30">
        <f>BD423+AO423+AG423</f>
        <v>0</v>
      </c>
      <c r="BC423" s="30">
        <f>BD423+AS423</f>
        <v>0</v>
      </c>
      <c r="BD423" s="30">
        <f>IF(BA423&gt;0,Y423-BA423,BA423)</f>
        <v>0</v>
      </c>
      <c r="BE423" s="31">
        <v>4867</v>
      </c>
      <c r="BF423" s="30" t="s">
        <v>57</v>
      </c>
      <c r="BG423" s="31">
        <f>BE423*Q423</f>
        <v>48670</v>
      </c>
      <c r="BH423" s="31">
        <f>BE423*R423*0.4</f>
        <v>0</v>
      </c>
      <c r="BI423" s="142"/>
      <c r="BJ423" s="142"/>
      <c r="BK423" s="32">
        <f>Y423*BE423</f>
        <v>48670</v>
      </c>
      <c r="BL423" s="25"/>
      <c r="BM423" s="25"/>
      <c r="BN423" s="25"/>
      <c r="BO423" s="25"/>
      <c r="BP423" s="25">
        <f>BE423*AV423</f>
        <v>0</v>
      </c>
      <c r="BQ423" s="25">
        <f>BE423*AX423</f>
        <v>0</v>
      </c>
      <c r="BR423" s="26"/>
      <c r="BS423" s="32"/>
    </row>
    <row r="424" spans="1:71" s="6" customFormat="1" ht="41.25" customHeight="1">
      <c r="A424" s="18">
        <v>421</v>
      </c>
      <c r="B424" s="18" t="s">
        <v>94</v>
      </c>
      <c r="C424" s="18" t="s">
        <v>485</v>
      </c>
      <c r="D424" s="18" t="s">
        <v>96</v>
      </c>
      <c r="E424" s="22" t="s">
        <v>898</v>
      </c>
      <c r="F424" s="58" t="s">
        <v>146</v>
      </c>
      <c r="G424" s="58"/>
      <c r="H424" s="22"/>
      <c r="I424" s="22"/>
      <c r="J424" s="22"/>
      <c r="K424" s="22"/>
      <c r="L424" s="22"/>
      <c r="M424" s="22"/>
      <c r="N424" s="22" t="s">
        <v>899</v>
      </c>
      <c r="O424" s="23"/>
      <c r="P424" s="18" t="s">
        <v>56</v>
      </c>
      <c r="Q424" s="72"/>
      <c r="R424" s="72"/>
      <c r="S424" s="25">
        <v>40</v>
      </c>
      <c r="T424" s="26"/>
      <c r="U424" s="26"/>
      <c r="V424" s="25">
        <v>40</v>
      </c>
      <c r="W424" s="26"/>
      <c r="X424" s="25">
        <v>40</v>
      </c>
      <c r="Y424" s="26">
        <f>T424+R424+Q424+U424+W424</f>
        <v>0</v>
      </c>
      <c r="Z424" s="27">
        <v>280</v>
      </c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>
        <f>SUM(AM424:AS424)</f>
        <v>0</v>
      </c>
      <c r="AM424" s="26"/>
      <c r="AN424" s="26"/>
      <c r="AO424" s="26"/>
      <c r="AP424" s="26"/>
      <c r="AQ424" s="26"/>
      <c r="AR424" s="26"/>
      <c r="AS424" s="26"/>
      <c r="AT424" s="28"/>
      <c r="AU424" s="28"/>
      <c r="AV424" s="26"/>
      <c r="AW424" s="26"/>
      <c r="AX424" s="28"/>
      <c r="AY424" s="72">
        <f>Y424-AV424-AX424-AW424</f>
        <v>0</v>
      </c>
      <c r="AZ424" s="68"/>
      <c r="BA424" s="26">
        <f>AL424+AG424+AA424+AT424</f>
        <v>0</v>
      </c>
      <c r="BB424" s="30">
        <f>BD424+AO424+AG424</f>
        <v>0</v>
      </c>
      <c r="BC424" s="30">
        <f>BD424+AS424</f>
        <v>0</v>
      </c>
      <c r="BD424" s="30">
        <f>IF(BA424&gt;0,Y424-BA424,BA424)</f>
        <v>0</v>
      </c>
      <c r="BE424" s="31">
        <v>32</v>
      </c>
      <c r="BF424" s="30" t="s">
        <v>57</v>
      </c>
      <c r="BG424" s="31">
        <f>BE424*Q424</f>
        <v>0</v>
      </c>
      <c r="BH424" s="31">
        <f>BE424*R424*0.4</f>
        <v>0</v>
      </c>
      <c r="BI424" s="142"/>
      <c r="BJ424" s="142"/>
      <c r="BK424" s="32">
        <f>Y424*BE424</f>
        <v>0</v>
      </c>
      <c r="BL424" s="25">
        <v>40</v>
      </c>
      <c r="BM424" s="25">
        <v>40</v>
      </c>
      <c r="BN424" s="25">
        <v>40</v>
      </c>
      <c r="BO424" s="25">
        <v>40</v>
      </c>
      <c r="BP424" s="25">
        <f>BE424*AV424</f>
        <v>0</v>
      </c>
      <c r="BQ424" s="25">
        <f>BE424*AX424</f>
        <v>0</v>
      </c>
      <c r="BR424" s="26"/>
      <c r="BS424" s="32"/>
    </row>
    <row r="425" spans="1:71" s="6" customFormat="1" ht="41.25" customHeight="1">
      <c r="A425" s="18">
        <v>422</v>
      </c>
      <c r="B425" s="18" t="s">
        <v>94</v>
      </c>
      <c r="C425" s="18" t="s">
        <v>485</v>
      </c>
      <c r="D425" s="18" t="s">
        <v>96</v>
      </c>
      <c r="E425" s="22" t="s">
        <v>898</v>
      </c>
      <c r="F425" s="58" t="s">
        <v>146</v>
      </c>
      <c r="G425" s="58"/>
      <c r="H425" s="22"/>
      <c r="I425" s="22"/>
      <c r="J425" s="22"/>
      <c r="K425" s="22"/>
      <c r="L425" s="22"/>
      <c r="M425" s="22"/>
      <c r="N425" s="22" t="s">
        <v>900</v>
      </c>
      <c r="O425" s="23"/>
      <c r="P425" s="18" t="s">
        <v>56</v>
      </c>
      <c r="Q425" s="72"/>
      <c r="R425" s="72"/>
      <c r="S425" s="25">
        <v>40</v>
      </c>
      <c r="T425" s="26"/>
      <c r="U425" s="26"/>
      <c r="V425" s="25">
        <v>40</v>
      </c>
      <c r="W425" s="26"/>
      <c r="X425" s="25">
        <v>40</v>
      </c>
      <c r="Y425" s="26">
        <f>T425+R425+Q425+U425+W425</f>
        <v>0</v>
      </c>
      <c r="Z425" s="27">
        <v>280</v>
      </c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>
        <f>SUM(AM425:AS425)</f>
        <v>0</v>
      </c>
      <c r="AM425" s="26"/>
      <c r="AN425" s="26"/>
      <c r="AO425" s="26"/>
      <c r="AP425" s="26"/>
      <c r="AQ425" s="26"/>
      <c r="AR425" s="26"/>
      <c r="AS425" s="26"/>
      <c r="AT425" s="28"/>
      <c r="AU425" s="28"/>
      <c r="AV425" s="26"/>
      <c r="AW425" s="26"/>
      <c r="AX425" s="28"/>
      <c r="AY425" s="72">
        <f>Y425-AV425-AX425-AW425</f>
        <v>0</v>
      </c>
      <c r="AZ425" s="68"/>
      <c r="BA425" s="26">
        <f>AL425+AG425+AA425+AT425</f>
        <v>0</v>
      </c>
      <c r="BB425" s="30">
        <f>BD425+AO425+AG425</f>
        <v>0</v>
      </c>
      <c r="BC425" s="30">
        <f>BD425+AS425</f>
        <v>0</v>
      </c>
      <c r="BD425" s="30">
        <f>IF(BA425&gt;0,Y425-BA425,BA425)</f>
        <v>0</v>
      </c>
      <c r="BE425" s="31">
        <v>32</v>
      </c>
      <c r="BF425" s="30" t="s">
        <v>57</v>
      </c>
      <c r="BG425" s="31">
        <f>BE425*Q425</f>
        <v>0</v>
      </c>
      <c r="BH425" s="31">
        <f>BE425*R425*0.4</f>
        <v>0</v>
      </c>
      <c r="BI425" s="142"/>
      <c r="BJ425" s="142"/>
      <c r="BK425" s="32">
        <f>Y425*BE425</f>
        <v>0</v>
      </c>
      <c r="BL425" s="25">
        <v>40</v>
      </c>
      <c r="BM425" s="25">
        <v>40</v>
      </c>
      <c r="BN425" s="25">
        <v>40</v>
      </c>
      <c r="BO425" s="25">
        <v>40</v>
      </c>
      <c r="BP425" s="25">
        <f>BE425*AV425</f>
        <v>0</v>
      </c>
      <c r="BQ425" s="25">
        <f>BE425*AX425</f>
        <v>0</v>
      </c>
      <c r="BR425" s="26"/>
      <c r="BS425" s="32"/>
    </row>
    <row r="426" spans="1:71" s="6" customFormat="1" ht="41.25" customHeight="1">
      <c r="A426" s="18">
        <v>423</v>
      </c>
      <c r="B426" s="18" t="s">
        <v>48</v>
      </c>
      <c r="C426" s="65" t="s">
        <v>232</v>
      </c>
      <c r="D426" s="19" t="s">
        <v>50</v>
      </c>
      <c r="E426" s="20" t="s">
        <v>901</v>
      </c>
      <c r="F426" s="21" t="s">
        <v>52</v>
      </c>
      <c r="G426" s="21"/>
      <c r="H426" s="22"/>
      <c r="I426" s="22"/>
      <c r="J426" s="22"/>
      <c r="K426" s="22"/>
      <c r="L426" s="20" t="s">
        <v>53</v>
      </c>
      <c r="M426" s="22"/>
      <c r="N426" s="22" t="s">
        <v>902</v>
      </c>
      <c r="O426" s="23" t="s">
        <v>903</v>
      </c>
      <c r="P426" s="18" t="s">
        <v>56</v>
      </c>
      <c r="Q426" s="72"/>
      <c r="R426" s="72"/>
      <c r="S426" s="25">
        <v>460</v>
      </c>
      <c r="T426" s="26"/>
      <c r="U426" s="26"/>
      <c r="V426" s="25">
        <v>460</v>
      </c>
      <c r="W426" s="26"/>
      <c r="X426" s="25">
        <v>276</v>
      </c>
      <c r="Y426" s="26">
        <f>T426+R426+Q426+U426+W426</f>
        <v>0</v>
      </c>
      <c r="Z426" s="27">
        <v>2300</v>
      </c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>
        <f>SUM(AM426:AS426)</f>
        <v>0</v>
      </c>
      <c r="AM426" s="26"/>
      <c r="AN426" s="26"/>
      <c r="AO426" s="26"/>
      <c r="AP426" s="26"/>
      <c r="AQ426" s="26"/>
      <c r="AR426" s="26"/>
      <c r="AS426" s="26"/>
      <c r="AT426" s="28"/>
      <c r="AU426" s="28"/>
      <c r="AV426" s="26"/>
      <c r="AW426" s="26"/>
      <c r="AX426" s="28"/>
      <c r="AY426" s="72">
        <f>Y426-AV426-AX426-AW426</f>
        <v>0</v>
      </c>
      <c r="AZ426" s="68"/>
      <c r="BA426" s="26">
        <f>AL426+AG426+AA426+AT426</f>
        <v>0</v>
      </c>
      <c r="BB426" s="30">
        <f>BD426+AO426+AG426</f>
        <v>0</v>
      </c>
      <c r="BC426" s="30">
        <f>BD426+AS426</f>
        <v>0</v>
      </c>
      <c r="BD426" s="30">
        <f>IF(BA426&gt;0,Y426-BA426,BA426)</f>
        <v>0</v>
      </c>
      <c r="BE426" s="31">
        <v>7</v>
      </c>
      <c r="BF426" s="30" t="s">
        <v>57</v>
      </c>
      <c r="BG426" s="31">
        <f>BE426*Q426</f>
        <v>0</v>
      </c>
      <c r="BH426" s="31">
        <f>BE426*R426*0.4</f>
        <v>0</v>
      </c>
      <c r="BI426" s="142"/>
      <c r="BJ426" s="142"/>
      <c r="BK426" s="32">
        <f>Y426*BE426</f>
        <v>0</v>
      </c>
      <c r="BL426" s="25">
        <v>276</v>
      </c>
      <c r="BM426" s="25">
        <v>276</v>
      </c>
      <c r="BN426" s="25">
        <v>276</v>
      </c>
      <c r="BO426" s="25">
        <v>276</v>
      </c>
      <c r="BP426" s="25">
        <f>BE426*AV426</f>
        <v>0</v>
      </c>
      <c r="BQ426" s="25">
        <f>BE426*AX426</f>
        <v>0</v>
      </c>
      <c r="BR426" s="26"/>
      <c r="BS426" s="32"/>
    </row>
    <row r="427" spans="1:71" s="6" customFormat="1" ht="41.25" customHeight="1">
      <c r="A427" s="18">
        <v>424</v>
      </c>
      <c r="B427" s="18" t="s">
        <v>58</v>
      </c>
      <c r="C427" s="33" t="s">
        <v>59</v>
      </c>
      <c r="D427" s="34" t="s">
        <v>60</v>
      </c>
      <c r="E427" s="20" t="s">
        <v>893</v>
      </c>
      <c r="F427" s="34" t="s">
        <v>62</v>
      </c>
      <c r="G427" s="22"/>
      <c r="H427" s="22"/>
      <c r="I427" s="22"/>
      <c r="J427" s="22"/>
      <c r="K427" s="22"/>
      <c r="L427" s="20" t="s">
        <v>53</v>
      </c>
      <c r="M427" s="22"/>
      <c r="N427" s="22" t="s">
        <v>906</v>
      </c>
      <c r="O427" s="23"/>
      <c r="P427" s="18" t="s">
        <v>65</v>
      </c>
      <c r="Q427" s="72"/>
      <c r="R427" s="72"/>
      <c r="S427" s="35">
        <v>30</v>
      </c>
      <c r="T427" s="26"/>
      <c r="U427" s="26"/>
      <c r="V427" s="35">
        <v>30</v>
      </c>
      <c r="W427" s="154"/>
      <c r="X427" s="35">
        <v>30</v>
      </c>
      <c r="Y427" s="26">
        <f>T427+R427+Q427+U427+W427</f>
        <v>0</v>
      </c>
      <c r="Z427" s="27">
        <v>210</v>
      </c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>
        <f>SUM(AM427:AS427)</f>
        <v>0</v>
      </c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72">
        <f>Y427-AV427-AX427-AW427</f>
        <v>0</v>
      </c>
      <c r="AZ427" s="68"/>
      <c r="BA427" s="26">
        <f>AL427+AG427+AA427+AT427</f>
        <v>0</v>
      </c>
      <c r="BB427" s="30">
        <f>BD427+AO427+AG427</f>
        <v>0</v>
      </c>
      <c r="BC427" s="30">
        <f>BD427+AS427</f>
        <v>0</v>
      </c>
      <c r="BD427" s="30">
        <f>IF(BA427&gt;0,Y427-BA427,BA427)</f>
        <v>0</v>
      </c>
      <c r="BE427" s="31">
        <v>37</v>
      </c>
      <c r="BF427" s="30" t="s">
        <v>57</v>
      </c>
      <c r="BG427" s="31">
        <f>BE427*Q427</f>
        <v>0</v>
      </c>
      <c r="BH427" s="31">
        <f>BE427*R427*0.4</f>
        <v>0</v>
      </c>
      <c r="BI427" s="142"/>
      <c r="BJ427" s="142"/>
      <c r="BK427" s="32">
        <f>Y427*BE427</f>
        <v>0</v>
      </c>
      <c r="BL427" s="35">
        <v>30</v>
      </c>
      <c r="BM427" s="35">
        <v>30</v>
      </c>
      <c r="BN427" s="35">
        <v>30</v>
      </c>
      <c r="BO427" s="35">
        <v>30</v>
      </c>
      <c r="BP427" s="25">
        <f>BE427*AV427</f>
        <v>0</v>
      </c>
      <c r="BQ427" s="25">
        <f>BE427*AX427</f>
        <v>0</v>
      </c>
      <c r="BR427" s="26"/>
      <c r="BS427" s="32"/>
    </row>
    <row r="428" spans="1:71" s="6" customFormat="1" ht="41.25" customHeight="1">
      <c r="A428" s="18">
        <v>425</v>
      </c>
      <c r="B428" s="18" t="s">
        <v>94</v>
      </c>
      <c r="C428" s="18" t="s">
        <v>121</v>
      </c>
      <c r="D428" s="18" t="s">
        <v>96</v>
      </c>
      <c r="E428" s="22" t="s">
        <v>828</v>
      </c>
      <c r="F428" s="52" t="s">
        <v>123</v>
      </c>
      <c r="G428" s="52"/>
      <c r="H428" s="22"/>
      <c r="I428" s="22"/>
      <c r="J428" s="22"/>
      <c r="K428" s="22"/>
      <c r="L428" s="22"/>
      <c r="M428" s="22"/>
      <c r="N428" s="22" t="s">
        <v>907</v>
      </c>
      <c r="O428" s="23"/>
      <c r="P428" s="38" t="s">
        <v>56</v>
      </c>
      <c r="Q428" s="144"/>
      <c r="R428" s="144"/>
      <c r="S428" s="40">
        <v>40</v>
      </c>
      <c r="T428" s="26"/>
      <c r="U428" s="26"/>
      <c r="V428" s="25">
        <v>40</v>
      </c>
      <c r="W428" s="26"/>
      <c r="X428" s="25">
        <v>40</v>
      </c>
      <c r="Y428" s="26">
        <f>T428+R428+Q428+U428+W428</f>
        <v>0</v>
      </c>
      <c r="Z428" s="27">
        <v>280</v>
      </c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>
        <f>SUM(AM428:AS428)</f>
        <v>0</v>
      </c>
      <c r="AM428" s="26"/>
      <c r="AN428" s="26"/>
      <c r="AO428" s="26"/>
      <c r="AP428" s="26"/>
      <c r="AQ428" s="26"/>
      <c r="AR428" s="26"/>
      <c r="AS428" s="26"/>
      <c r="AT428" s="28"/>
      <c r="AU428" s="28"/>
      <c r="AV428" s="26"/>
      <c r="AW428" s="26"/>
      <c r="AX428" s="28"/>
      <c r="AY428" s="72">
        <f>Y428-AV428-AX428-AW428</f>
        <v>0</v>
      </c>
      <c r="AZ428" s="68"/>
      <c r="BA428" s="26">
        <f>AL428+AG428+AA428+AT428</f>
        <v>0</v>
      </c>
      <c r="BB428" s="30">
        <f>BD428+AO428+AG428</f>
        <v>0</v>
      </c>
      <c r="BC428" s="30">
        <f>BD428+AS428</f>
        <v>0</v>
      </c>
      <c r="BD428" s="30">
        <f>IF(BA428&gt;0,Y428-BA428,BA428)</f>
        <v>0</v>
      </c>
      <c r="BE428" s="31">
        <v>32</v>
      </c>
      <c r="BF428" s="30" t="s">
        <v>57</v>
      </c>
      <c r="BG428" s="31">
        <f>BE428*Q428</f>
        <v>0</v>
      </c>
      <c r="BH428" s="31">
        <f>BE428*R428*0.4</f>
        <v>0</v>
      </c>
      <c r="BI428" s="142"/>
      <c r="BJ428" s="142"/>
      <c r="BK428" s="32">
        <f>Y428*BE428</f>
        <v>0</v>
      </c>
      <c r="BL428" s="25">
        <v>40</v>
      </c>
      <c r="BM428" s="25">
        <v>40</v>
      </c>
      <c r="BN428" s="25">
        <v>40</v>
      </c>
      <c r="BO428" s="25">
        <v>40</v>
      </c>
      <c r="BP428" s="25">
        <f>BE428*AV428</f>
        <v>0</v>
      </c>
      <c r="BQ428" s="25">
        <f>BE428*AX428</f>
        <v>0</v>
      </c>
      <c r="BR428" s="26"/>
      <c r="BS428" s="32"/>
    </row>
    <row r="429" spans="1:71" s="6" customFormat="1" ht="41.25" customHeight="1">
      <c r="A429" s="18">
        <v>426</v>
      </c>
      <c r="B429" s="18" t="s">
        <v>94</v>
      </c>
      <c r="C429" s="18" t="s">
        <v>209</v>
      </c>
      <c r="D429" s="18" t="s">
        <v>96</v>
      </c>
      <c r="E429" s="20" t="s">
        <v>791</v>
      </c>
      <c r="F429" s="18" t="s">
        <v>209</v>
      </c>
      <c r="G429" s="18"/>
      <c r="H429" s="22"/>
      <c r="I429" s="22"/>
      <c r="J429" s="22"/>
      <c r="K429" s="22"/>
      <c r="L429" s="20" t="s">
        <v>53</v>
      </c>
      <c r="M429" s="22"/>
      <c r="N429" s="22" t="s">
        <v>908</v>
      </c>
      <c r="O429" s="23"/>
      <c r="P429" s="18" t="s">
        <v>56</v>
      </c>
      <c r="Q429" s="72"/>
      <c r="R429" s="72"/>
      <c r="S429" s="25"/>
      <c r="T429" s="26"/>
      <c r="U429" s="26"/>
      <c r="V429" s="25"/>
      <c r="W429" s="26"/>
      <c r="X429" s="25"/>
      <c r="Y429" s="26">
        <f>T429+R429+Q429+U429+W429</f>
        <v>0</v>
      </c>
      <c r="Z429" s="27">
        <v>200</v>
      </c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>
        <f>SUM(AM429:AS429)</f>
        <v>0</v>
      </c>
      <c r="AM429" s="26"/>
      <c r="AN429" s="26"/>
      <c r="AO429" s="26"/>
      <c r="AP429" s="26"/>
      <c r="AQ429" s="26"/>
      <c r="AR429" s="26"/>
      <c r="AS429" s="26"/>
      <c r="AT429" s="28"/>
      <c r="AU429" s="28"/>
      <c r="AV429" s="26"/>
      <c r="AW429" s="26"/>
      <c r="AX429" s="28"/>
      <c r="AY429" s="72">
        <f>Y429-AV429-AX429-AW429</f>
        <v>0</v>
      </c>
      <c r="AZ429" s="68"/>
      <c r="BA429" s="26">
        <f>AL429+AG429+AA429+AT429</f>
        <v>0</v>
      </c>
      <c r="BB429" s="30">
        <f>BD429+AO429+AG429</f>
        <v>0</v>
      </c>
      <c r="BC429" s="30">
        <f>BD429+AS429</f>
        <v>0</v>
      </c>
      <c r="BD429" s="30">
        <f>IF(BA429&gt;0,Y429-BA429,BA429)</f>
        <v>0</v>
      </c>
      <c r="BE429" s="31"/>
      <c r="BF429" s="30" t="s">
        <v>57</v>
      </c>
      <c r="BG429" s="31">
        <f>BE429*Q429</f>
        <v>0</v>
      </c>
      <c r="BH429" s="31">
        <f>BE429*R429*0.4</f>
        <v>0</v>
      </c>
      <c r="BI429" s="142"/>
      <c r="BJ429" s="142"/>
      <c r="BK429" s="32">
        <f>Y429*BE429</f>
        <v>0</v>
      </c>
      <c r="BL429" s="25"/>
      <c r="BM429" s="25">
        <v>200</v>
      </c>
      <c r="BN429" s="25"/>
      <c r="BO429" s="25"/>
      <c r="BP429" s="25">
        <f>BE429*AV429</f>
        <v>0</v>
      </c>
      <c r="BQ429" s="25">
        <f>BE429*AX429</f>
        <v>0</v>
      </c>
      <c r="BR429" s="26"/>
      <c r="BS429" s="32"/>
    </row>
    <row r="430" spans="1:71" s="6" customFormat="1" ht="41.25" customHeight="1">
      <c r="A430" s="18">
        <v>427</v>
      </c>
      <c r="B430" s="18" t="s">
        <v>94</v>
      </c>
      <c r="C430" s="18" t="s">
        <v>209</v>
      </c>
      <c r="D430" s="18" t="s">
        <v>96</v>
      </c>
      <c r="E430" s="20" t="s">
        <v>791</v>
      </c>
      <c r="F430" s="18" t="s">
        <v>209</v>
      </c>
      <c r="G430" s="18"/>
      <c r="H430" s="22"/>
      <c r="I430" s="22"/>
      <c r="J430" s="22"/>
      <c r="K430" s="22"/>
      <c r="L430" s="20" t="s">
        <v>53</v>
      </c>
      <c r="M430" s="22"/>
      <c r="N430" s="22" t="s">
        <v>909</v>
      </c>
      <c r="O430" s="23"/>
      <c r="P430" s="18" t="s">
        <v>56</v>
      </c>
      <c r="Q430" s="72"/>
      <c r="R430" s="72"/>
      <c r="S430" s="25"/>
      <c r="T430" s="26"/>
      <c r="U430" s="26"/>
      <c r="V430" s="25"/>
      <c r="W430" s="26"/>
      <c r="X430" s="25"/>
      <c r="Y430" s="26">
        <f>T430+R430+Q430+U430+W430</f>
        <v>0</v>
      </c>
      <c r="Z430" s="27">
        <v>200</v>
      </c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>
        <f>SUM(AM430:AS430)</f>
        <v>0</v>
      </c>
      <c r="AM430" s="26"/>
      <c r="AN430" s="26"/>
      <c r="AO430" s="26"/>
      <c r="AP430" s="26"/>
      <c r="AQ430" s="26"/>
      <c r="AR430" s="26"/>
      <c r="AS430" s="26"/>
      <c r="AT430" s="28"/>
      <c r="AU430" s="28"/>
      <c r="AV430" s="26"/>
      <c r="AW430" s="26"/>
      <c r="AX430" s="28"/>
      <c r="AY430" s="72">
        <f>Y430-AV430-AX430-AW430</f>
        <v>0</v>
      </c>
      <c r="AZ430" s="68"/>
      <c r="BA430" s="26">
        <f>AL430+AG430+AA430+AT430</f>
        <v>0</v>
      </c>
      <c r="BB430" s="30">
        <f>BD430+AO430+AG430</f>
        <v>0</v>
      </c>
      <c r="BC430" s="30">
        <f>BD430+AS430</f>
        <v>0</v>
      </c>
      <c r="BD430" s="30">
        <f>IF(BA430&gt;0,Y430-BA430,BA430)</f>
        <v>0</v>
      </c>
      <c r="BE430" s="31"/>
      <c r="BF430" s="30" t="s">
        <v>57</v>
      </c>
      <c r="BG430" s="31">
        <f>BE430*Q430</f>
        <v>0</v>
      </c>
      <c r="BH430" s="31">
        <f>BE430*R430*0.4</f>
        <v>0</v>
      </c>
      <c r="BI430" s="142"/>
      <c r="BJ430" s="142"/>
      <c r="BK430" s="32">
        <f>Y430*BE430</f>
        <v>0</v>
      </c>
      <c r="BL430" s="25"/>
      <c r="BM430" s="25"/>
      <c r="BN430" s="25">
        <v>200</v>
      </c>
      <c r="BO430" s="25"/>
      <c r="BP430" s="25">
        <f>BE430*AV430</f>
        <v>0</v>
      </c>
      <c r="BQ430" s="25">
        <f>BE430*AX430</f>
        <v>0</v>
      </c>
      <c r="BR430" s="26"/>
      <c r="BS430" s="32"/>
    </row>
    <row r="431" spans="1:71" s="6" customFormat="1" ht="41.25" customHeight="1">
      <c r="A431" s="18">
        <v>428</v>
      </c>
      <c r="B431" s="18" t="s">
        <v>94</v>
      </c>
      <c r="C431" s="18" t="s">
        <v>177</v>
      </c>
      <c r="D431" s="18" t="s">
        <v>96</v>
      </c>
      <c r="E431" s="22" t="s">
        <v>910</v>
      </c>
      <c r="F431" s="52" t="s">
        <v>123</v>
      </c>
      <c r="G431" s="52"/>
      <c r="H431" s="22"/>
      <c r="I431" s="22"/>
      <c r="J431" s="22"/>
      <c r="K431" s="22"/>
      <c r="L431" s="22"/>
      <c r="M431" s="22"/>
      <c r="N431" s="22" t="s">
        <v>911</v>
      </c>
      <c r="O431" s="23"/>
      <c r="P431" s="38" t="s">
        <v>56</v>
      </c>
      <c r="Q431" s="88">
        <v>20</v>
      </c>
      <c r="R431" s="72"/>
      <c r="S431" s="40">
        <v>20</v>
      </c>
      <c r="T431" s="29">
        <v>20</v>
      </c>
      <c r="U431" s="26"/>
      <c r="V431" s="25">
        <v>20</v>
      </c>
      <c r="W431" s="88">
        <v>48</v>
      </c>
      <c r="X431" s="25">
        <v>20</v>
      </c>
      <c r="Y431" s="53">
        <f>T431+R431+Q431+U431+W431</f>
        <v>88</v>
      </c>
      <c r="Z431" s="27">
        <v>140</v>
      </c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>
        <f>SUM(AM431:AS431)</f>
        <v>0</v>
      </c>
      <c r="AM431" s="26"/>
      <c r="AN431" s="26"/>
      <c r="AO431" s="26"/>
      <c r="AP431" s="26"/>
      <c r="AQ431" s="26"/>
      <c r="AR431" s="26"/>
      <c r="AS431" s="26"/>
      <c r="AT431" s="28"/>
      <c r="AU431" s="28"/>
      <c r="AV431" s="26"/>
      <c r="AW431" s="26"/>
      <c r="AX431" s="28"/>
      <c r="AY431" s="29">
        <f>Y431-AV431-AX431-AW431</f>
        <v>88</v>
      </c>
      <c r="AZ431" s="29">
        <f>'Layout for shadhous 3'!M59</f>
        <v>88</v>
      </c>
      <c r="BA431" s="26">
        <f>AL431+AG431+AA431+AT431</f>
        <v>0</v>
      </c>
      <c r="BB431" s="30">
        <f>BD431+AO431+AG431</f>
        <v>0</v>
      </c>
      <c r="BC431" s="30">
        <f>BD431+AS431</f>
        <v>0</v>
      </c>
      <c r="BD431" s="30">
        <f>IF(BA431&gt;0,Y431-BA431,BA431)</f>
        <v>0</v>
      </c>
      <c r="BE431" s="31">
        <v>5</v>
      </c>
      <c r="BF431" s="30" t="s">
        <v>57</v>
      </c>
      <c r="BG431" s="31">
        <f>BE431*Q431</f>
        <v>100</v>
      </c>
      <c r="BH431" s="31">
        <f>BE431*R431*0.4</f>
        <v>0</v>
      </c>
      <c r="BI431" s="142"/>
      <c r="BJ431" s="142"/>
      <c r="BK431" s="32">
        <f>Y431*BE431</f>
        <v>440</v>
      </c>
      <c r="BL431" s="25">
        <v>20</v>
      </c>
      <c r="BM431" s="25">
        <v>20</v>
      </c>
      <c r="BN431" s="25">
        <v>20</v>
      </c>
      <c r="BO431" s="25">
        <v>20</v>
      </c>
      <c r="BP431" s="25">
        <f>BE431*AV431</f>
        <v>0</v>
      </c>
      <c r="BQ431" s="25">
        <f>BE431*AX431</f>
        <v>0</v>
      </c>
      <c r="BR431" s="26"/>
      <c r="BS431" s="32"/>
    </row>
    <row r="432" spans="1:71" s="6" customFormat="1" ht="41.25" customHeight="1">
      <c r="A432" s="18">
        <v>429</v>
      </c>
      <c r="B432" s="18" t="s">
        <v>94</v>
      </c>
      <c r="C432" s="18" t="s">
        <v>135</v>
      </c>
      <c r="D432" s="18" t="s">
        <v>96</v>
      </c>
      <c r="E432" s="20" t="s">
        <v>277</v>
      </c>
      <c r="F432" s="34" t="s">
        <v>128</v>
      </c>
      <c r="G432" s="34" t="s">
        <v>128</v>
      </c>
      <c r="H432" s="22"/>
      <c r="I432" s="22"/>
      <c r="J432" s="22"/>
      <c r="K432" s="22"/>
      <c r="L432" s="20" t="s">
        <v>53</v>
      </c>
      <c r="M432" s="22"/>
      <c r="N432" s="22" t="s">
        <v>917</v>
      </c>
      <c r="O432" s="23"/>
      <c r="P432" s="18" t="s">
        <v>56</v>
      </c>
      <c r="Q432" s="72"/>
      <c r="R432" s="72"/>
      <c r="S432" s="25"/>
      <c r="T432" s="26"/>
      <c r="U432" s="26"/>
      <c r="V432" s="25">
        <v>200</v>
      </c>
      <c r="W432" s="26"/>
      <c r="X432" s="25"/>
      <c r="Y432" s="26">
        <f>T432+R432+Q432+U432+W432</f>
        <v>0</v>
      </c>
      <c r="Z432" s="27">
        <v>200</v>
      </c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>
        <f>SUM(AM432:AS432)</f>
        <v>0</v>
      </c>
      <c r="AM432" s="26"/>
      <c r="AN432" s="26"/>
      <c r="AO432" s="26"/>
      <c r="AP432" s="26"/>
      <c r="AQ432" s="26"/>
      <c r="AR432" s="26"/>
      <c r="AS432" s="26"/>
      <c r="AT432" s="28"/>
      <c r="AU432" s="28"/>
      <c r="AV432" s="26"/>
      <c r="AW432" s="26"/>
      <c r="AX432" s="28"/>
      <c r="AY432" s="72">
        <f>Y432-AV432-AX432-AW432</f>
        <v>0</v>
      </c>
      <c r="AZ432" s="68"/>
      <c r="BA432" s="26">
        <f>AL432+AG432+AA432+AT432</f>
        <v>0</v>
      </c>
      <c r="BB432" s="30">
        <f>BD432+AO432+AG432</f>
        <v>0</v>
      </c>
      <c r="BC432" s="30">
        <f>BD432+AS432</f>
        <v>0</v>
      </c>
      <c r="BD432" s="30">
        <f>IF(BA432&gt;0,Y432-BA432,BA432)</f>
        <v>0</v>
      </c>
      <c r="BE432" s="31"/>
      <c r="BF432" s="30" t="s">
        <v>57</v>
      </c>
      <c r="BG432" s="31">
        <f>BE432*Q432</f>
        <v>0</v>
      </c>
      <c r="BH432" s="31">
        <f>BE432*R432*0.4</f>
        <v>0</v>
      </c>
      <c r="BI432" s="142"/>
      <c r="BJ432" s="142"/>
      <c r="BK432" s="32">
        <f>Y432*BE432</f>
        <v>0</v>
      </c>
      <c r="BL432" s="25"/>
      <c r="BM432" s="25"/>
      <c r="BN432" s="25"/>
      <c r="BO432" s="25"/>
      <c r="BP432" s="25">
        <f>BE432*AV432</f>
        <v>0</v>
      </c>
      <c r="BQ432" s="25">
        <f>BE432*AX432</f>
        <v>0</v>
      </c>
      <c r="BR432" s="26"/>
      <c r="BS432" s="32"/>
    </row>
    <row r="433" spans="1:71" s="6" customFormat="1" ht="41.25" customHeight="1">
      <c r="A433" s="18">
        <v>430</v>
      </c>
      <c r="B433" s="18" t="s">
        <v>94</v>
      </c>
      <c r="C433" s="18" t="s">
        <v>121</v>
      </c>
      <c r="D433" s="18" t="s">
        <v>96</v>
      </c>
      <c r="E433" s="22" t="s">
        <v>934</v>
      </c>
      <c r="F433" s="52" t="s">
        <v>123</v>
      </c>
      <c r="G433" s="52"/>
      <c r="H433" s="22"/>
      <c r="I433" s="22"/>
      <c r="J433" s="22"/>
      <c r="K433" s="22"/>
      <c r="L433" s="22"/>
      <c r="M433" s="22"/>
      <c r="N433" s="22" t="s">
        <v>935</v>
      </c>
      <c r="O433" s="23"/>
      <c r="P433" s="38" t="s">
        <v>56</v>
      </c>
      <c r="Q433" s="88">
        <v>40</v>
      </c>
      <c r="R433" s="144"/>
      <c r="S433" s="40">
        <v>40</v>
      </c>
      <c r="T433" s="29">
        <v>40</v>
      </c>
      <c r="U433" s="26"/>
      <c r="V433" s="25">
        <v>40</v>
      </c>
      <c r="W433" s="29">
        <v>70</v>
      </c>
      <c r="X433" s="25">
        <v>40</v>
      </c>
      <c r="Y433" s="53">
        <f>T433+R433+Q433+U433+W433</f>
        <v>150</v>
      </c>
      <c r="Z433" s="27">
        <v>280</v>
      </c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>
        <f>SUM(AM433:AS433)</f>
        <v>0</v>
      </c>
      <c r="AM433" s="26"/>
      <c r="AN433" s="26"/>
      <c r="AO433" s="26"/>
      <c r="AP433" s="26"/>
      <c r="AQ433" s="26"/>
      <c r="AR433" s="26"/>
      <c r="AS433" s="26"/>
      <c r="AT433" s="28"/>
      <c r="AU433" s="28"/>
      <c r="AV433" s="26"/>
      <c r="AW433" s="26"/>
      <c r="AX433" s="28"/>
      <c r="AY433" s="29">
        <f>Y433-AV433-AX433-AW433</f>
        <v>150</v>
      </c>
      <c r="AZ433" s="29">
        <f>'Layout for shadhous 3'!M60</f>
        <v>150</v>
      </c>
      <c r="BA433" s="26">
        <f>AL433+AG433+AA433+AT433</f>
        <v>0</v>
      </c>
      <c r="BB433" s="30">
        <f>BD433+AO433+AG433</f>
        <v>0</v>
      </c>
      <c r="BC433" s="30">
        <f>BD433+AS433</f>
        <v>0</v>
      </c>
      <c r="BD433" s="30">
        <f>IF(BA433&gt;0,Y433-BA433,BA433)</f>
        <v>0</v>
      </c>
      <c r="BE433" s="31">
        <v>5</v>
      </c>
      <c r="BF433" s="30" t="s">
        <v>57</v>
      </c>
      <c r="BG433" s="31">
        <f>BE433*Q433</f>
        <v>200</v>
      </c>
      <c r="BH433" s="31">
        <f>BE433*R433*0.4</f>
        <v>0</v>
      </c>
      <c r="BI433" s="142"/>
      <c r="BJ433" s="142"/>
      <c r="BK433" s="32">
        <f>Y433*BE433</f>
        <v>750</v>
      </c>
      <c r="BL433" s="25">
        <v>40</v>
      </c>
      <c r="BM433" s="25">
        <v>40</v>
      </c>
      <c r="BN433" s="25">
        <v>40</v>
      </c>
      <c r="BO433" s="25">
        <v>40</v>
      </c>
      <c r="BP433" s="25">
        <f>BE433*AV433</f>
        <v>0</v>
      </c>
      <c r="BQ433" s="25">
        <f>BE433*AX433</f>
        <v>0</v>
      </c>
      <c r="BR433" s="26"/>
      <c r="BS433" s="32"/>
    </row>
    <row r="434" spans="1:71" s="6" customFormat="1" ht="41.25" customHeight="1">
      <c r="A434" s="18">
        <v>431</v>
      </c>
      <c r="B434" s="18" t="s">
        <v>94</v>
      </c>
      <c r="C434" s="18" t="s">
        <v>121</v>
      </c>
      <c r="D434" s="18" t="s">
        <v>96</v>
      </c>
      <c r="E434" s="22" t="s">
        <v>934</v>
      </c>
      <c r="F434" s="52" t="s">
        <v>123</v>
      </c>
      <c r="G434" s="52"/>
      <c r="H434" s="22"/>
      <c r="I434" s="22"/>
      <c r="J434" s="22"/>
      <c r="K434" s="22"/>
      <c r="L434" s="22"/>
      <c r="M434" s="22"/>
      <c r="N434" s="22" t="s">
        <v>936</v>
      </c>
      <c r="O434" s="23"/>
      <c r="P434" s="38" t="s">
        <v>56</v>
      </c>
      <c r="Q434" s="144"/>
      <c r="R434" s="144"/>
      <c r="S434" s="40">
        <v>40</v>
      </c>
      <c r="T434" s="26"/>
      <c r="U434" s="26"/>
      <c r="V434" s="25">
        <v>40</v>
      </c>
      <c r="W434" s="26"/>
      <c r="X434" s="25">
        <v>40</v>
      </c>
      <c r="Y434" s="26">
        <f>T434+R434+Q434+U434+W434</f>
        <v>0</v>
      </c>
      <c r="Z434" s="27">
        <v>280</v>
      </c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>
        <f>SUM(AM434:AS434)</f>
        <v>0</v>
      </c>
      <c r="AM434" s="26"/>
      <c r="AN434" s="26"/>
      <c r="AO434" s="26"/>
      <c r="AP434" s="26"/>
      <c r="AQ434" s="26"/>
      <c r="AR434" s="26"/>
      <c r="AS434" s="26"/>
      <c r="AT434" s="28"/>
      <c r="AU434" s="28"/>
      <c r="AV434" s="26"/>
      <c r="AW434" s="26"/>
      <c r="AX434" s="28"/>
      <c r="AY434" s="72">
        <f>Y434-AV434-AX434-AW434</f>
        <v>0</v>
      </c>
      <c r="AZ434" s="68"/>
      <c r="BA434" s="26">
        <f>AL434+AG434+AA434+AT434</f>
        <v>0</v>
      </c>
      <c r="BB434" s="30">
        <f>BD434+AO434+AG434</f>
        <v>0</v>
      </c>
      <c r="BC434" s="30">
        <f>BD434+AS434</f>
        <v>0</v>
      </c>
      <c r="BD434" s="30">
        <f>IF(BA434&gt;0,Y434-BA434,BA434)</f>
        <v>0</v>
      </c>
      <c r="BE434" s="31">
        <v>5</v>
      </c>
      <c r="BF434" s="30" t="s">
        <v>57</v>
      </c>
      <c r="BG434" s="31">
        <f>BE434*Q434</f>
        <v>0</v>
      </c>
      <c r="BH434" s="31">
        <f>BE434*R434*0.4</f>
        <v>0</v>
      </c>
      <c r="BI434" s="142"/>
      <c r="BJ434" s="142"/>
      <c r="BK434" s="32">
        <f>Y434*BE434</f>
        <v>0</v>
      </c>
      <c r="BL434" s="25">
        <v>40</v>
      </c>
      <c r="BM434" s="25">
        <v>40</v>
      </c>
      <c r="BN434" s="25">
        <v>40</v>
      </c>
      <c r="BO434" s="25">
        <v>40</v>
      </c>
      <c r="BP434" s="25">
        <f>BE434*AV434</f>
        <v>0</v>
      </c>
      <c r="BQ434" s="25">
        <f>BE434*AX434</f>
        <v>0</v>
      </c>
      <c r="BR434" s="26"/>
      <c r="BS434" s="32"/>
    </row>
    <row r="435" spans="1:71" s="6" customFormat="1" ht="41.25" customHeight="1">
      <c r="A435" s="18">
        <v>432</v>
      </c>
      <c r="B435" s="18" t="s">
        <v>94</v>
      </c>
      <c r="C435" s="18" t="s">
        <v>121</v>
      </c>
      <c r="D435" s="18" t="s">
        <v>96</v>
      </c>
      <c r="E435" s="22" t="s">
        <v>937</v>
      </c>
      <c r="F435" s="52" t="s">
        <v>123</v>
      </c>
      <c r="G435" s="52"/>
      <c r="H435" s="22"/>
      <c r="I435" s="22"/>
      <c r="J435" s="22"/>
      <c r="K435" s="22"/>
      <c r="L435" s="22"/>
      <c r="M435" s="22"/>
      <c r="N435" s="22" t="s">
        <v>938</v>
      </c>
      <c r="O435" s="23"/>
      <c r="P435" s="38" t="s">
        <v>56</v>
      </c>
      <c r="Q435" s="144"/>
      <c r="R435" s="144"/>
      <c r="S435" s="40">
        <v>40</v>
      </c>
      <c r="T435" s="26"/>
      <c r="U435" s="26"/>
      <c r="V435" s="25">
        <v>40</v>
      </c>
      <c r="W435" s="26"/>
      <c r="X435" s="25">
        <v>40</v>
      </c>
      <c r="Y435" s="26">
        <f>T435+R435+Q435+U435+W435</f>
        <v>0</v>
      </c>
      <c r="Z435" s="27">
        <v>280</v>
      </c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>
        <f>SUM(AM435:AS435)</f>
        <v>0</v>
      </c>
      <c r="AM435" s="26"/>
      <c r="AN435" s="26"/>
      <c r="AO435" s="26"/>
      <c r="AP435" s="26"/>
      <c r="AQ435" s="26"/>
      <c r="AR435" s="26"/>
      <c r="AS435" s="26"/>
      <c r="AT435" s="28"/>
      <c r="AU435" s="28"/>
      <c r="AV435" s="26"/>
      <c r="AW435" s="26"/>
      <c r="AX435" s="28"/>
      <c r="AY435" s="72">
        <f>Y435-AV435-AX435-AW435</f>
        <v>0</v>
      </c>
      <c r="AZ435" s="68"/>
      <c r="BA435" s="26">
        <f>AL435+AG435+AA435+AT435</f>
        <v>0</v>
      </c>
      <c r="BB435" s="30">
        <f>BD435+AO435+AG435</f>
        <v>0</v>
      </c>
      <c r="BC435" s="30">
        <f>BD435+AS435</f>
        <v>0</v>
      </c>
      <c r="BD435" s="30">
        <f>IF(BA435&gt;0,Y435-BA435,BA435)</f>
        <v>0</v>
      </c>
      <c r="BE435" s="31">
        <v>5</v>
      </c>
      <c r="BF435" s="30" t="s">
        <v>57</v>
      </c>
      <c r="BG435" s="31">
        <f>BE435*Q435</f>
        <v>0</v>
      </c>
      <c r="BH435" s="31">
        <f>BE435*R435*0.4</f>
        <v>0</v>
      </c>
      <c r="BI435" s="142"/>
      <c r="BJ435" s="142"/>
      <c r="BK435" s="32">
        <f>Y435*BE435</f>
        <v>0</v>
      </c>
      <c r="BL435" s="25">
        <v>40</v>
      </c>
      <c r="BM435" s="25">
        <v>40</v>
      </c>
      <c r="BN435" s="25">
        <v>40</v>
      </c>
      <c r="BO435" s="25">
        <v>40</v>
      </c>
      <c r="BP435" s="25">
        <f>BE435*AV435</f>
        <v>0</v>
      </c>
      <c r="BQ435" s="25">
        <f>BE435*AX435</f>
        <v>0</v>
      </c>
      <c r="BR435" s="26"/>
      <c r="BS435" s="32"/>
    </row>
    <row r="436" spans="1:71" s="6" customFormat="1" ht="41.25" customHeight="1">
      <c r="A436" s="18">
        <v>433</v>
      </c>
      <c r="B436" s="18" t="s">
        <v>94</v>
      </c>
      <c r="C436" s="18" t="s">
        <v>132</v>
      </c>
      <c r="D436" s="18" t="s">
        <v>96</v>
      </c>
      <c r="E436" s="20" t="s">
        <v>726</v>
      </c>
      <c r="F436" s="52" t="s">
        <v>123</v>
      </c>
      <c r="G436" s="52"/>
      <c r="H436" s="22"/>
      <c r="I436" s="22"/>
      <c r="J436" s="22"/>
      <c r="K436" s="22"/>
      <c r="L436" s="20" t="s">
        <v>53</v>
      </c>
      <c r="M436" s="22"/>
      <c r="N436" s="22" t="s">
        <v>939</v>
      </c>
      <c r="O436" s="23"/>
      <c r="P436" s="18" t="s">
        <v>56</v>
      </c>
      <c r="Q436" s="144"/>
      <c r="R436" s="144"/>
      <c r="S436" s="25">
        <v>60</v>
      </c>
      <c r="T436" s="26"/>
      <c r="U436" s="26"/>
      <c r="V436" s="25">
        <v>60</v>
      </c>
      <c r="W436" s="26"/>
      <c r="X436" s="25">
        <v>60</v>
      </c>
      <c r="Y436" s="26">
        <f>T436+R436+Q436+U436+W436</f>
        <v>0</v>
      </c>
      <c r="Z436" s="27">
        <v>420</v>
      </c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>
        <f>SUM(AM436:AS436)</f>
        <v>0</v>
      </c>
      <c r="AM436" s="26"/>
      <c r="AN436" s="26"/>
      <c r="AO436" s="26"/>
      <c r="AP436" s="26"/>
      <c r="AQ436" s="26"/>
      <c r="AR436" s="26"/>
      <c r="AS436" s="26"/>
      <c r="AT436" s="28"/>
      <c r="AU436" s="28"/>
      <c r="AV436" s="26"/>
      <c r="AW436" s="26"/>
      <c r="AX436" s="28"/>
      <c r="AY436" s="72">
        <f>Y436-AV436-AX436-AW436</f>
        <v>0</v>
      </c>
      <c r="AZ436" s="68"/>
      <c r="BA436" s="26">
        <f>AL436+AG436+AA436+AT436</f>
        <v>0</v>
      </c>
      <c r="BB436" s="30">
        <f>BD436+AO436+AG436</f>
        <v>0</v>
      </c>
      <c r="BC436" s="30">
        <f>BD436+AS436</f>
        <v>0</v>
      </c>
      <c r="BD436" s="30">
        <f>IF(BA436&gt;0,Y436-BA436,BA436)</f>
        <v>0</v>
      </c>
      <c r="BE436" s="31">
        <v>5</v>
      </c>
      <c r="BF436" s="30" t="s">
        <v>57</v>
      </c>
      <c r="BG436" s="31">
        <f>BE436*Q436</f>
        <v>0</v>
      </c>
      <c r="BH436" s="31">
        <f>BE436*R436*0.4</f>
        <v>0</v>
      </c>
      <c r="BI436" s="142"/>
      <c r="BJ436" s="142"/>
      <c r="BK436" s="32">
        <f>Y436*BE436</f>
        <v>0</v>
      </c>
      <c r="BL436" s="25">
        <v>60</v>
      </c>
      <c r="BM436" s="25">
        <v>60</v>
      </c>
      <c r="BN436" s="25">
        <v>60</v>
      </c>
      <c r="BO436" s="25">
        <v>60</v>
      </c>
      <c r="BP436" s="25">
        <f>BE436*AV436</f>
        <v>0</v>
      </c>
      <c r="BQ436" s="25">
        <f>BE436*AX436</f>
        <v>0</v>
      </c>
      <c r="BR436" s="26"/>
      <c r="BS436" s="32"/>
    </row>
    <row r="437" spans="1:71" s="6" customFormat="1" ht="41.25" customHeight="1">
      <c r="A437" s="18">
        <v>434</v>
      </c>
      <c r="B437" s="18" t="s">
        <v>94</v>
      </c>
      <c r="C437" s="18" t="s">
        <v>209</v>
      </c>
      <c r="D437" s="18" t="s">
        <v>96</v>
      </c>
      <c r="E437" s="20" t="s">
        <v>791</v>
      </c>
      <c r="F437" s="18" t="s">
        <v>209</v>
      </c>
      <c r="G437" s="18"/>
      <c r="H437" s="22"/>
      <c r="I437" s="22"/>
      <c r="J437" s="22"/>
      <c r="K437" s="22"/>
      <c r="L437" s="20" t="s">
        <v>53</v>
      </c>
      <c r="M437" s="22"/>
      <c r="N437" s="22" t="s">
        <v>940</v>
      </c>
      <c r="O437" s="23"/>
      <c r="P437" s="18" t="s">
        <v>56</v>
      </c>
      <c r="Q437" s="72"/>
      <c r="R437" s="72"/>
      <c r="S437" s="25"/>
      <c r="T437" s="26"/>
      <c r="U437" s="26"/>
      <c r="V437" s="25"/>
      <c r="W437" s="26"/>
      <c r="X437" s="25"/>
      <c r="Y437" s="26">
        <f>T437+R437+Q437+U437+W437</f>
        <v>0</v>
      </c>
      <c r="Z437" s="27">
        <v>200</v>
      </c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>
        <f>SUM(AM437:AS437)</f>
        <v>0</v>
      </c>
      <c r="AM437" s="26"/>
      <c r="AN437" s="26"/>
      <c r="AO437" s="26"/>
      <c r="AP437" s="26"/>
      <c r="AQ437" s="26"/>
      <c r="AR437" s="26"/>
      <c r="AS437" s="26"/>
      <c r="AT437" s="28"/>
      <c r="AU437" s="28"/>
      <c r="AV437" s="26"/>
      <c r="AW437" s="26"/>
      <c r="AX437" s="28"/>
      <c r="AY437" s="72">
        <f>Y437-AV437-AX437-AW437</f>
        <v>0</v>
      </c>
      <c r="AZ437" s="68"/>
      <c r="BA437" s="26">
        <f>AL437+AG437+AA437+AT437</f>
        <v>0</v>
      </c>
      <c r="BB437" s="30">
        <f>BD437+AO437+AG437</f>
        <v>0</v>
      </c>
      <c r="BC437" s="30">
        <f>BD437+AS437</f>
        <v>0</v>
      </c>
      <c r="BD437" s="30">
        <f>IF(BA437&gt;0,Y437-BA437,BA437)</f>
        <v>0</v>
      </c>
      <c r="BE437" s="31"/>
      <c r="BF437" s="30" t="s">
        <v>57</v>
      </c>
      <c r="BG437" s="31">
        <f>BE437*Q437</f>
        <v>0</v>
      </c>
      <c r="BH437" s="31">
        <f>BE437*R437*0.4</f>
        <v>0</v>
      </c>
      <c r="BI437" s="142"/>
      <c r="BJ437" s="142"/>
      <c r="BK437" s="32">
        <f>Y437*BE437</f>
        <v>0</v>
      </c>
      <c r="BL437" s="25"/>
      <c r="BM437" s="25"/>
      <c r="BN437" s="25"/>
      <c r="BO437" s="25">
        <v>200</v>
      </c>
      <c r="BP437" s="25">
        <f>BE437*AV437</f>
        <v>0</v>
      </c>
      <c r="BQ437" s="25">
        <f>BE437*AX437</f>
        <v>0</v>
      </c>
      <c r="BR437" s="28"/>
      <c r="BS437" s="32"/>
    </row>
    <row r="438" spans="1:71" s="6" customFormat="1" ht="41.25" customHeight="1">
      <c r="A438" s="18">
        <v>435</v>
      </c>
      <c r="B438" s="18" t="s">
        <v>66</v>
      </c>
      <c r="C438" s="65" t="s">
        <v>225</v>
      </c>
      <c r="D438" s="56" t="s">
        <v>50</v>
      </c>
      <c r="E438" s="20" t="s">
        <v>746</v>
      </c>
      <c r="F438" s="52" t="s">
        <v>123</v>
      </c>
      <c r="G438" s="52"/>
      <c r="H438" s="22"/>
      <c r="I438" s="22"/>
      <c r="J438" s="22"/>
      <c r="K438" s="22"/>
      <c r="L438" s="20" t="s">
        <v>53</v>
      </c>
      <c r="M438" s="22"/>
      <c r="N438" s="76" t="s">
        <v>941</v>
      </c>
      <c r="O438" s="23"/>
      <c r="P438" s="18" t="s">
        <v>56</v>
      </c>
      <c r="Q438" s="72"/>
      <c r="R438" s="72"/>
      <c r="S438" s="25">
        <v>1820</v>
      </c>
      <c r="T438" s="81"/>
      <c r="U438" s="81"/>
      <c r="V438" s="25">
        <v>1820</v>
      </c>
      <c r="W438" s="26"/>
      <c r="X438" s="25">
        <v>1092</v>
      </c>
      <c r="Y438" s="26">
        <f>T438+R438+Q438+U438+W438</f>
        <v>0</v>
      </c>
      <c r="Z438" s="27">
        <v>9100</v>
      </c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>
        <f>SUM(AM438:AS438)</f>
        <v>0</v>
      </c>
      <c r="AM438" s="26"/>
      <c r="AN438" s="26"/>
      <c r="AO438" s="26"/>
      <c r="AP438" s="26"/>
      <c r="AQ438" s="26"/>
      <c r="AR438" s="26"/>
      <c r="AS438" s="26"/>
      <c r="AT438" s="28"/>
      <c r="AU438" s="28"/>
      <c r="AV438" s="26"/>
      <c r="AW438" s="26"/>
      <c r="AX438" s="28"/>
      <c r="AY438" s="72">
        <f>Y438-AV438-AX438-AW438</f>
        <v>0</v>
      </c>
      <c r="AZ438" s="68"/>
      <c r="BA438" s="26">
        <f>AL438+AG438+AA438+AT438</f>
        <v>0</v>
      </c>
      <c r="BB438" s="30">
        <f>BD438+AO438+AG438</f>
        <v>0</v>
      </c>
      <c r="BC438" s="30">
        <f>BD438+AS438</f>
        <v>0</v>
      </c>
      <c r="BD438" s="30">
        <f>IF(BA438&gt;0,Y438-BA438,BA438)</f>
        <v>0</v>
      </c>
      <c r="BE438" s="31">
        <v>19</v>
      </c>
      <c r="BF438" s="30" t="s">
        <v>57</v>
      </c>
      <c r="BG438" s="31">
        <f>BE438*Q438</f>
        <v>0</v>
      </c>
      <c r="BH438" s="31">
        <f>BE438*R438*0.4</f>
        <v>0</v>
      </c>
      <c r="BI438" s="142"/>
      <c r="BJ438" s="142"/>
      <c r="BK438" s="32">
        <f>Y438*BE438</f>
        <v>0</v>
      </c>
      <c r="BL438" s="25">
        <v>1092</v>
      </c>
      <c r="BM438" s="25">
        <v>1092</v>
      </c>
      <c r="BN438" s="25">
        <v>1092</v>
      </c>
      <c r="BO438" s="25">
        <v>1092</v>
      </c>
      <c r="BP438" s="25">
        <f>BE438*AV438</f>
        <v>0</v>
      </c>
      <c r="BQ438" s="25">
        <f>BE438*AX438</f>
        <v>0</v>
      </c>
      <c r="BR438" s="26"/>
      <c r="BS438" s="32"/>
    </row>
    <row r="439" spans="1:71" s="6" customFormat="1" ht="41.25" customHeight="1">
      <c r="A439" s="18">
        <v>436</v>
      </c>
      <c r="B439" s="18" t="s">
        <v>87</v>
      </c>
      <c r="C439" s="18" t="s">
        <v>88</v>
      </c>
      <c r="D439" s="47" t="s">
        <v>89</v>
      </c>
      <c r="E439" s="22" t="s">
        <v>950</v>
      </c>
      <c r="F439" s="36" t="s">
        <v>70</v>
      </c>
      <c r="G439" s="36"/>
      <c r="H439" s="22"/>
      <c r="I439" s="37" t="s">
        <v>951</v>
      </c>
      <c r="J439" s="37"/>
      <c r="K439" s="37"/>
      <c r="L439" s="22"/>
      <c r="M439" s="22"/>
      <c r="N439" s="22" t="s">
        <v>952</v>
      </c>
      <c r="O439" s="23" t="s">
        <v>949</v>
      </c>
      <c r="P439" s="18" t="s">
        <v>56</v>
      </c>
      <c r="Q439" s="72"/>
      <c r="R439" s="72"/>
      <c r="S439" s="25">
        <v>10</v>
      </c>
      <c r="T439" s="26"/>
      <c r="U439" s="26"/>
      <c r="V439" s="25"/>
      <c r="W439" s="26"/>
      <c r="X439" s="25"/>
      <c r="Y439" s="26">
        <f>T439+R439+Q439+U439+W439</f>
        <v>0</v>
      </c>
      <c r="Z439" s="27">
        <v>10</v>
      </c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>
        <f>SUM(AM439:AS439)</f>
        <v>0</v>
      </c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72">
        <f>Y439-AV439-AX439-AW439</f>
        <v>0</v>
      </c>
      <c r="AZ439" s="68"/>
      <c r="BA439" s="26">
        <f>AL439+AG439+AA439+AT439</f>
        <v>0</v>
      </c>
      <c r="BB439" s="30">
        <f>BD439+AO439+AG439</f>
        <v>0</v>
      </c>
      <c r="BC439" s="30">
        <f>BD439+AS439</f>
        <v>0</v>
      </c>
      <c r="BD439" s="30">
        <f>IF(BA439&gt;0,Y439-BA439,BA439)</f>
        <v>0</v>
      </c>
      <c r="BE439" s="31">
        <v>284</v>
      </c>
      <c r="BF439" s="30" t="s">
        <v>57</v>
      </c>
      <c r="BG439" s="31">
        <f>BE439*Q439</f>
        <v>0</v>
      </c>
      <c r="BH439" s="31">
        <f>BE439*R439*0.4</f>
        <v>0</v>
      </c>
      <c r="BI439" s="142"/>
      <c r="BJ439" s="142"/>
      <c r="BK439" s="32">
        <f>Y439*BE439</f>
        <v>0</v>
      </c>
      <c r="BL439" s="25"/>
      <c r="BM439" s="25"/>
      <c r="BN439" s="25"/>
      <c r="BO439" s="25"/>
      <c r="BP439" s="25">
        <f>BE439*AV439</f>
        <v>0</v>
      </c>
      <c r="BQ439" s="25">
        <f>BE439*AX439</f>
        <v>0</v>
      </c>
      <c r="BR439" s="28"/>
      <c r="BS439" s="32"/>
    </row>
    <row r="440" spans="1:71" s="6" customFormat="1" ht="41.25" customHeight="1">
      <c r="A440" s="18">
        <v>437</v>
      </c>
      <c r="B440" s="18" t="s">
        <v>94</v>
      </c>
      <c r="C440" s="18" t="s">
        <v>166</v>
      </c>
      <c r="D440" s="18" t="s">
        <v>96</v>
      </c>
      <c r="E440" s="22" t="s">
        <v>953</v>
      </c>
      <c r="F440" s="48" t="s">
        <v>98</v>
      </c>
      <c r="G440" s="48"/>
      <c r="H440" s="22"/>
      <c r="I440" s="22"/>
      <c r="J440" s="22"/>
      <c r="K440" s="22"/>
      <c r="L440" s="22"/>
      <c r="M440" s="22"/>
      <c r="N440" s="22" t="s">
        <v>954</v>
      </c>
      <c r="O440" s="23"/>
      <c r="P440" s="38" t="s">
        <v>56</v>
      </c>
      <c r="Q440" s="29">
        <v>20</v>
      </c>
      <c r="R440" s="72"/>
      <c r="S440" s="40">
        <v>20</v>
      </c>
      <c r="T440" s="29">
        <v>8</v>
      </c>
      <c r="U440" s="26"/>
      <c r="V440" s="25">
        <v>20</v>
      </c>
      <c r="W440" s="26"/>
      <c r="X440" s="25">
        <v>40</v>
      </c>
      <c r="Y440" s="53">
        <f>T440+R440+Q440+U440+W440</f>
        <v>28</v>
      </c>
      <c r="Z440" s="27">
        <v>140</v>
      </c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>
        <f>SUM(AM440:AS440)</f>
        <v>0</v>
      </c>
      <c r="AM440" s="26"/>
      <c r="AN440" s="26"/>
      <c r="AO440" s="26"/>
      <c r="AP440" s="26"/>
      <c r="AQ440" s="26"/>
      <c r="AR440" s="26"/>
      <c r="AS440" s="26"/>
      <c r="AT440" s="28"/>
      <c r="AU440" s="28"/>
      <c r="AV440" s="26"/>
      <c r="AW440" s="26"/>
      <c r="AX440" s="28"/>
      <c r="AY440" s="29">
        <f>Y440-AV440-AX440-AW440</f>
        <v>28</v>
      </c>
      <c r="AZ440" s="29">
        <f>'Layout for trees right'!M23</f>
        <v>28</v>
      </c>
      <c r="BA440" s="26">
        <f>AL440+AG440+AA440+AT440</f>
        <v>0</v>
      </c>
      <c r="BB440" s="30">
        <f>BD440+AO440+AG440</f>
        <v>0</v>
      </c>
      <c r="BC440" s="30">
        <f>BD440+AS440</f>
        <v>0</v>
      </c>
      <c r="BD440" s="30">
        <f>IF(BA440&gt;0,Y440-BA440,BA440)</f>
        <v>0</v>
      </c>
      <c r="BE440" s="31">
        <v>24</v>
      </c>
      <c r="BF440" s="30" t="s">
        <v>57</v>
      </c>
      <c r="BG440" s="31">
        <f>BE440*Q440</f>
        <v>480</v>
      </c>
      <c r="BH440" s="31">
        <f>BE440*R440*0.4</f>
        <v>0</v>
      </c>
      <c r="BI440" s="142"/>
      <c r="BJ440" s="142"/>
      <c r="BK440" s="32">
        <f>Y440*BE440</f>
        <v>672</v>
      </c>
      <c r="BL440" s="25">
        <v>40</v>
      </c>
      <c r="BM440" s="25">
        <v>40</v>
      </c>
      <c r="BN440" s="25">
        <v>40</v>
      </c>
      <c r="BO440" s="25">
        <v>40</v>
      </c>
      <c r="BP440" s="25">
        <f>BE440*AV440</f>
        <v>0</v>
      </c>
      <c r="BQ440" s="25">
        <f>BE440*AX440</f>
        <v>0</v>
      </c>
      <c r="BR440" s="28"/>
      <c r="BS440" s="32"/>
    </row>
    <row r="441" spans="1:71" s="6" customFormat="1" ht="41.25" customHeight="1">
      <c r="A441" s="18">
        <v>438</v>
      </c>
      <c r="B441" s="18" t="s">
        <v>58</v>
      </c>
      <c r="C441" s="33" t="s">
        <v>59</v>
      </c>
      <c r="D441" s="34" t="s">
        <v>60</v>
      </c>
      <c r="E441" s="20" t="s">
        <v>955</v>
      </c>
      <c r="F441" s="34" t="s">
        <v>62</v>
      </c>
      <c r="G441" s="22"/>
      <c r="H441" s="22"/>
      <c r="I441" s="22"/>
      <c r="J441" s="22"/>
      <c r="K441" s="22"/>
      <c r="L441" s="20" t="s">
        <v>53</v>
      </c>
      <c r="M441" s="22"/>
      <c r="N441" s="22" t="s">
        <v>956</v>
      </c>
      <c r="O441" s="23" t="s">
        <v>957</v>
      </c>
      <c r="P441" s="18" t="s">
        <v>65</v>
      </c>
      <c r="Q441" s="72"/>
      <c r="R441" s="72"/>
      <c r="S441" s="35">
        <v>3</v>
      </c>
      <c r="T441" s="26"/>
      <c r="U441" s="26"/>
      <c r="V441" s="35">
        <v>3</v>
      </c>
      <c r="W441" s="154"/>
      <c r="X441" s="35">
        <v>3</v>
      </c>
      <c r="Y441" s="26">
        <f>T441+R441+Q441+U441+W441</f>
        <v>0</v>
      </c>
      <c r="Z441" s="27">
        <v>21</v>
      </c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>
        <f>SUM(AM441:AS441)</f>
        <v>0</v>
      </c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72">
        <f>Y441-AV441-AX441-AW441</f>
        <v>0</v>
      </c>
      <c r="AZ441" s="68"/>
      <c r="BA441" s="26">
        <f>AL441+AG441+AA441+AT441</f>
        <v>0</v>
      </c>
      <c r="BB441" s="30">
        <f>BD441+AO441+AG441</f>
        <v>0</v>
      </c>
      <c r="BC441" s="30">
        <f>BD441+AS441</f>
        <v>0</v>
      </c>
      <c r="BD441" s="30">
        <f>IF(BA441&gt;0,Y441-BA441,BA441)</f>
        <v>0</v>
      </c>
      <c r="BE441" s="31">
        <v>187</v>
      </c>
      <c r="BF441" s="30" t="s">
        <v>57</v>
      </c>
      <c r="BG441" s="31">
        <f>BE441*Q441</f>
        <v>0</v>
      </c>
      <c r="BH441" s="31">
        <f>BE441*R441*0.4</f>
        <v>0</v>
      </c>
      <c r="BI441" s="142"/>
      <c r="BJ441" s="142"/>
      <c r="BK441" s="32">
        <f>Y441*BE441</f>
        <v>0</v>
      </c>
      <c r="BL441" s="35">
        <v>3</v>
      </c>
      <c r="BM441" s="35">
        <v>3</v>
      </c>
      <c r="BN441" s="35">
        <v>3</v>
      </c>
      <c r="BO441" s="35">
        <v>3</v>
      </c>
      <c r="BP441" s="25">
        <f>BE441*AV441</f>
        <v>0</v>
      </c>
      <c r="BQ441" s="25">
        <f>BE441*AX441</f>
        <v>0</v>
      </c>
      <c r="BR441" s="26"/>
      <c r="BS441" s="32"/>
    </row>
    <row r="442" spans="1:71" s="6" customFormat="1" ht="41.25" customHeight="1">
      <c r="A442" s="18">
        <v>439</v>
      </c>
      <c r="B442" s="18" t="s">
        <v>191</v>
      </c>
      <c r="C442" s="65" t="s">
        <v>221</v>
      </c>
      <c r="D442" s="21" t="s">
        <v>50</v>
      </c>
      <c r="E442" s="20" t="s">
        <v>958</v>
      </c>
      <c r="F442" s="52" t="s">
        <v>123</v>
      </c>
      <c r="G442" s="52"/>
      <c r="H442" s="50"/>
      <c r="I442" s="50"/>
      <c r="J442" s="50"/>
      <c r="K442" s="50"/>
      <c r="L442" s="20" t="s">
        <v>53</v>
      </c>
      <c r="M442" s="22"/>
      <c r="N442" s="22" t="s">
        <v>959</v>
      </c>
      <c r="O442" s="23" t="s">
        <v>960</v>
      </c>
      <c r="P442" s="18" t="s">
        <v>56</v>
      </c>
      <c r="Q442" s="72"/>
      <c r="R442" s="72"/>
      <c r="S442" s="25">
        <v>9060</v>
      </c>
      <c r="T442" s="26"/>
      <c r="U442" s="26"/>
      <c r="V442" s="25">
        <v>9060</v>
      </c>
      <c r="W442" s="26"/>
      <c r="X442" s="25">
        <v>5436</v>
      </c>
      <c r="Y442" s="26">
        <f>T442+R442+Q442+U442+W442</f>
        <v>0</v>
      </c>
      <c r="Z442" s="27">
        <v>45300</v>
      </c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>
        <f>SUM(AM442:AS442)</f>
        <v>0</v>
      </c>
      <c r="AM442" s="26"/>
      <c r="AN442" s="26"/>
      <c r="AO442" s="26"/>
      <c r="AP442" s="26"/>
      <c r="AQ442" s="26"/>
      <c r="AR442" s="26"/>
      <c r="AS442" s="26"/>
      <c r="AT442" s="28"/>
      <c r="AU442" s="28"/>
      <c r="AV442" s="26"/>
      <c r="AW442" s="26"/>
      <c r="AX442" s="28"/>
      <c r="AY442" s="72">
        <f>Y442-AV442-AX442-AW442</f>
        <v>0</v>
      </c>
      <c r="AZ442" s="68"/>
      <c r="BA442" s="26">
        <f>AL442+AG442+AA442+AT442</f>
        <v>0</v>
      </c>
      <c r="BB442" s="30">
        <f>BD442+AO442+AG442</f>
        <v>0</v>
      </c>
      <c r="BC442" s="30">
        <f>BD442+AS442</f>
        <v>0</v>
      </c>
      <c r="BD442" s="30">
        <f>IF(BA442&gt;0,Y442-BA442,BA442)</f>
        <v>0</v>
      </c>
      <c r="BE442" s="31">
        <v>4.25</v>
      </c>
      <c r="BF442" s="30" t="s">
        <v>57</v>
      </c>
      <c r="BG442" s="31">
        <f>BE442*Q442</f>
        <v>0</v>
      </c>
      <c r="BH442" s="31">
        <f>BE442*R442*0.4</f>
        <v>0</v>
      </c>
      <c r="BI442" s="142"/>
      <c r="BJ442" s="142"/>
      <c r="BK442" s="32">
        <f>Y442*BE442</f>
        <v>0</v>
      </c>
      <c r="BL442" s="25">
        <v>5436</v>
      </c>
      <c r="BM442" s="25">
        <v>5436</v>
      </c>
      <c r="BN442" s="25">
        <v>5436</v>
      </c>
      <c r="BO442" s="25">
        <v>5436</v>
      </c>
      <c r="BP442" s="25">
        <f>BE442*AV442</f>
        <v>0</v>
      </c>
      <c r="BQ442" s="25">
        <f>BE442*AX442</f>
        <v>0</v>
      </c>
      <c r="BR442" s="28"/>
      <c r="BS442" s="32"/>
    </row>
    <row r="443" spans="1:71" s="6" customFormat="1" ht="41.25" customHeight="1">
      <c r="A443" s="18">
        <v>440</v>
      </c>
      <c r="B443" s="50" t="s">
        <v>94</v>
      </c>
      <c r="C443" s="44" t="s">
        <v>215</v>
      </c>
      <c r="D443" s="18" t="s">
        <v>96</v>
      </c>
      <c r="E443" s="55" t="s">
        <v>781</v>
      </c>
      <c r="F443" s="21" t="s">
        <v>52</v>
      </c>
      <c r="G443" s="21"/>
      <c r="H443" s="50"/>
      <c r="I443" s="50"/>
      <c r="J443" s="50"/>
      <c r="K443" s="50"/>
      <c r="L443" s="20" t="s">
        <v>53</v>
      </c>
      <c r="M443" s="22"/>
      <c r="N443" s="22" t="s">
        <v>961</v>
      </c>
      <c r="O443" s="23" t="s">
        <v>962</v>
      </c>
      <c r="P443" s="18" t="s">
        <v>56</v>
      </c>
      <c r="Q443" s="42"/>
      <c r="R443" s="72"/>
      <c r="S443" s="25"/>
      <c r="T443" s="26"/>
      <c r="U443" s="26"/>
      <c r="V443" s="25"/>
      <c r="W443" s="26"/>
      <c r="X443" s="25">
        <v>200</v>
      </c>
      <c r="Y443" s="26">
        <f>T443+R443+Q443+U443+W443</f>
        <v>0</v>
      </c>
      <c r="Z443" s="27">
        <v>200</v>
      </c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>
        <f>SUM(AM443:AS443)</f>
        <v>0</v>
      </c>
      <c r="AM443" s="26"/>
      <c r="AN443" s="26"/>
      <c r="AO443" s="26"/>
      <c r="AP443" s="26"/>
      <c r="AQ443" s="26"/>
      <c r="AR443" s="26"/>
      <c r="AS443" s="26"/>
      <c r="AT443" s="28"/>
      <c r="AU443" s="28"/>
      <c r="AV443" s="26"/>
      <c r="AW443" s="26"/>
      <c r="AX443" s="28"/>
      <c r="AY443" s="72">
        <f>Y443-AV443-AX443-AW443</f>
        <v>0</v>
      </c>
      <c r="AZ443" s="68"/>
      <c r="BA443" s="26">
        <f>AL443+AG443+AA443+AT443</f>
        <v>0</v>
      </c>
      <c r="BB443" s="30">
        <f>BD443+AO443+AG443</f>
        <v>0</v>
      </c>
      <c r="BC443" s="30">
        <f>BD443+AS443</f>
        <v>0</v>
      </c>
      <c r="BD443" s="30">
        <f>IF(BA443&gt;0,Y443-BA443,BA443)</f>
        <v>0</v>
      </c>
      <c r="BE443" s="31">
        <v>5</v>
      </c>
      <c r="BF443" s="30" t="s">
        <v>57</v>
      </c>
      <c r="BG443" s="31">
        <f>BE443*Q443</f>
        <v>0</v>
      </c>
      <c r="BH443" s="31">
        <f>BE443*R443*0.4</f>
        <v>0</v>
      </c>
      <c r="BI443" s="142"/>
      <c r="BJ443" s="142"/>
      <c r="BK443" s="32">
        <f>Y443*BE443</f>
        <v>0</v>
      </c>
      <c r="BL443" s="25"/>
      <c r="BM443" s="25"/>
      <c r="BN443" s="25"/>
      <c r="BO443" s="25"/>
      <c r="BP443" s="25">
        <f>BE443*AV443</f>
        <v>0</v>
      </c>
      <c r="BQ443" s="25">
        <f>BE443*AX443</f>
        <v>0</v>
      </c>
      <c r="BR443" s="28"/>
      <c r="BS443" s="32"/>
    </row>
    <row r="444" spans="1:71" s="6" customFormat="1" ht="41.25" customHeight="1">
      <c r="A444" s="18">
        <v>441</v>
      </c>
      <c r="B444" s="18" t="s">
        <v>58</v>
      </c>
      <c r="C444" s="33" t="s">
        <v>59</v>
      </c>
      <c r="D444" s="34" t="s">
        <v>60</v>
      </c>
      <c r="E444" s="20" t="s">
        <v>955</v>
      </c>
      <c r="F444" s="34" t="s">
        <v>62</v>
      </c>
      <c r="G444" s="22"/>
      <c r="H444" s="22"/>
      <c r="I444" s="22"/>
      <c r="J444" s="22"/>
      <c r="K444" s="22"/>
      <c r="L444" s="20" t="s">
        <v>53</v>
      </c>
      <c r="M444" s="22"/>
      <c r="N444" s="22" t="s">
        <v>964</v>
      </c>
      <c r="O444" s="23"/>
      <c r="P444" s="18" t="s">
        <v>65</v>
      </c>
      <c r="Q444" s="72"/>
      <c r="R444" s="72"/>
      <c r="S444" s="35">
        <v>5</v>
      </c>
      <c r="T444" s="26"/>
      <c r="U444" s="26"/>
      <c r="V444" s="35">
        <v>5</v>
      </c>
      <c r="W444" s="154"/>
      <c r="X444" s="35">
        <v>5</v>
      </c>
      <c r="Y444" s="26">
        <f>T444+R444+Q444+U444+W444</f>
        <v>0</v>
      </c>
      <c r="Z444" s="27">
        <v>35</v>
      </c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>
        <f>SUM(AM444:AS444)</f>
        <v>0</v>
      </c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72">
        <f>Y444-AV444-AX444-AW444</f>
        <v>0</v>
      </c>
      <c r="AZ444" s="68"/>
      <c r="BA444" s="26">
        <f>AL444+AG444+AA444+AT444</f>
        <v>0</v>
      </c>
      <c r="BB444" s="30">
        <f>BD444+AO444+AG444</f>
        <v>0</v>
      </c>
      <c r="BC444" s="30">
        <f>BD444+AS444</f>
        <v>0</v>
      </c>
      <c r="BD444" s="30">
        <f>IF(BA444&gt;0,Y444-BA444,BA444)</f>
        <v>0</v>
      </c>
      <c r="BE444" s="31">
        <v>56</v>
      </c>
      <c r="BF444" s="30" t="s">
        <v>57</v>
      </c>
      <c r="BG444" s="31">
        <f>BE444*Q444</f>
        <v>0</v>
      </c>
      <c r="BH444" s="31">
        <f>BE444*R444*0.4</f>
        <v>0</v>
      </c>
      <c r="BI444" s="142"/>
      <c r="BJ444" s="142"/>
      <c r="BK444" s="32">
        <f>Y444*BE444</f>
        <v>0</v>
      </c>
      <c r="BL444" s="35">
        <v>5</v>
      </c>
      <c r="BM444" s="35">
        <v>5</v>
      </c>
      <c r="BN444" s="35">
        <v>5</v>
      </c>
      <c r="BO444" s="35">
        <v>5</v>
      </c>
      <c r="BP444" s="25">
        <f>BE444*AV444</f>
        <v>0</v>
      </c>
      <c r="BQ444" s="25">
        <f>BE444*AX444</f>
        <v>0</v>
      </c>
      <c r="BR444" s="28"/>
      <c r="BS444" s="32"/>
    </row>
    <row r="445" spans="1:71" s="6" customFormat="1" ht="41.25" customHeight="1">
      <c r="A445" s="18">
        <v>442</v>
      </c>
      <c r="B445" s="18" t="s">
        <v>94</v>
      </c>
      <c r="C445" s="18" t="s">
        <v>200</v>
      </c>
      <c r="D445" s="18" t="s">
        <v>96</v>
      </c>
      <c r="E445" s="22" t="s">
        <v>889</v>
      </c>
      <c r="F445" s="48" t="s">
        <v>98</v>
      </c>
      <c r="G445" s="48"/>
      <c r="H445" s="22"/>
      <c r="I445" s="22"/>
      <c r="J445" s="22"/>
      <c r="K445" s="22"/>
      <c r="L445" s="22"/>
      <c r="M445" s="22"/>
      <c r="N445" s="22" t="s">
        <v>965</v>
      </c>
      <c r="O445" s="23"/>
      <c r="P445" s="38" t="s">
        <v>56</v>
      </c>
      <c r="Q445" s="29">
        <v>40</v>
      </c>
      <c r="R445" s="72"/>
      <c r="S445" s="40">
        <v>40</v>
      </c>
      <c r="T445" s="26"/>
      <c r="U445" s="26"/>
      <c r="V445" s="25">
        <v>40</v>
      </c>
      <c r="W445" s="26"/>
      <c r="X445" s="25">
        <v>40</v>
      </c>
      <c r="Y445" s="53">
        <f>T445+R445+Q445+U445+W445</f>
        <v>40</v>
      </c>
      <c r="Z445" s="27">
        <v>280</v>
      </c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>
        <f>SUM(AM445:AS445)</f>
        <v>0</v>
      </c>
      <c r="AM445" s="26"/>
      <c r="AN445" s="26"/>
      <c r="AO445" s="26"/>
      <c r="AP445" s="26"/>
      <c r="AQ445" s="26"/>
      <c r="AR445" s="26"/>
      <c r="AS445" s="26"/>
      <c r="AT445" s="28"/>
      <c r="AU445" s="28"/>
      <c r="AV445" s="26"/>
      <c r="AW445" s="26"/>
      <c r="AX445" s="28"/>
      <c r="AY445" s="29">
        <f>Y445-AV445-AX445-AW445</f>
        <v>40</v>
      </c>
      <c r="AZ445" s="29">
        <f>'Layout for shadhous 3'!M61</f>
        <v>44</v>
      </c>
      <c r="BA445" s="26">
        <f>AL445+AG445+AA445+AT445</f>
        <v>0</v>
      </c>
      <c r="BB445" s="30">
        <f>BD445+AO445+AG445</f>
        <v>0</v>
      </c>
      <c r="BC445" s="30">
        <f>BD445+AS445</f>
        <v>0</v>
      </c>
      <c r="BD445" s="30">
        <f>IF(BA445&gt;0,Y445-BA445,BA445)</f>
        <v>0</v>
      </c>
      <c r="BE445" s="31">
        <v>5</v>
      </c>
      <c r="BF445" s="30" t="s">
        <v>57</v>
      </c>
      <c r="BG445" s="31">
        <f>BE445*Q445</f>
        <v>200</v>
      </c>
      <c r="BH445" s="31">
        <f>BE445*R445*0.4</f>
        <v>0</v>
      </c>
      <c r="BI445" s="142"/>
      <c r="BJ445" s="142"/>
      <c r="BK445" s="32">
        <f>Y445*BE445</f>
        <v>200</v>
      </c>
      <c r="BL445" s="25">
        <v>40</v>
      </c>
      <c r="BM445" s="25">
        <v>40</v>
      </c>
      <c r="BN445" s="25">
        <v>40</v>
      </c>
      <c r="BO445" s="25">
        <v>40</v>
      </c>
      <c r="BP445" s="25">
        <f>BE445*AV445</f>
        <v>0</v>
      </c>
      <c r="BQ445" s="25">
        <f>BE445*AX445</f>
        <v>0</v>
      </c>
      <c r="BR445" s="28"/>
      <c r="BS445" s="32"/>
    </row>
    <row r="446" spans="1:71" s="6" customFormat="1" ht="41.25" customHeight="1">
      <c r="A446" s="18">
        <v>443</v>
      </c>
      <c r="B446" s="18" t="s">
        <v>94</v>
      </c>
      <c r="C446" s="18" t="s">
        <v>177</v>
      </c>
      <c r="D446" s="18" t="s">
        <v>96</v>
      </c>
      <c r="E446" s="22" t="s">
        <v>910</v>
      </c>
      <c r="F446" s="52" t="s">
        <v>123</v>
      </c>
      <c r="G446" s="52"/>
      <c r="H446" s="22"/>
      <c r="I446" s="22"/>
      <c r="J446" s="22"/>
      <c r="K446" s="22"/>
      <c r="L446" s="22"/>
      <c r="M446" s="22"/>
      <c r="N446" s="22" t="s">
        <v>969</v>
      </c>
      <c r="O446" s="23"/>
      <c r="P446" s="18" t="s">
        <v>56</v>
      </c>
      <c r="Q446" s="29">
        <v>20</v>
      </c>
      <c r="R446" s="72"/>
      <c r="S446" s="25">
        <v>20</v>
      </c>
      <c r="T446" s="26"/>
      <c r="U446" s="26"/>
      <c r="V446" s="25">
        <v>20</v>
      </c>
      <c r="W446" s="26"/>
      <c r="X446" s="25">
        <v>20</v>
      </c>
      <c r="Y446" s="53">
        <f>T446+R446+Q446+U446+W446</f>
        <v>20</v>
      </c>
      <c r="Z446" s="27">
        <v>140</v>
      </c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>
        <f>SUM(AM446:AS446)</f>
        <v>0</v>
      </c>
      <c r="AM446" s="26"/>
      <c r="AN446" s="26"/>
      <c r="AO446" s="26"/>
      <c r="AP446" s="26"/>
      <c r="AQ446" s="26"/>
      <c r="AR446" s="26"/>
      <c r="AS446" s="26"/>
      <c r="AT446" s="28"/>
      <c r="AU446" s="28"/>
      <c r="AV446" s="26"/>
      <c r="AW446" s="26"/>
      <c r="AX446" s="28"/>
      <c r="AY446" s="29">
        <f>Y446-AV446-AX446-AW446</f>
        <v>20</v>
      </c>
      <c r="AZ446" s="29">
        <f>'Layout for shadhous 3'!M62</f>
        <v>0</v>
      </c>
      <c r="BA446" s="26">
        <f>AL446+AG446+AA446+AT446</f>
        <v>0</v>
      </c>
      <c r="BB446" s="30">
        <f>BD446+AO446+AG446</f>
        <v>0</v>
      </c>
      <c r="BC446" s="30">
        <f>BD446+AS446</f>
        <v>0</v>
      </c>
      <c r="BD446" s="30">
        <f>IF(BA446&gt;0,Y446-BA446,BA446)</f>
        <v>0</v>
      </c>
      <c r="BE446" s="31">
        <v>162</v>
      </c>
      <c r="BF446" s="30" t="s">
        <v>57</v>
      </c>
      <c r="BG446" s="31">
        <f>BE446*Q446</f>
        <v>3240</v>
      </c>
      <c r="BH446" s="31">
        <f>BE446*R446*0.4</f>
        <v>0</v>
      </c>
      <c r="BI446" s="142"/>
      <c r="BJ446" s="142"/>
      <c r="BK446" s="32">
        <f>Y446*BE446</f>
        <v>3240</v>
      </c>
      <c r="BL446" s="25">
        <v>20</v>
      </c>
      <c r="BM446" s="25">
        <v>20</v>
      </c>
      <c r="BN446" s="25">
        <v>20</v>
      </c>
      <c r="BO446" s="25">
        <v>20</v>
      </c>
      <c r="BP446" s="25">
        <f>BE446*AV446</f>
        <v>0</v>
      </c>
      <c r="BQ446" s="25">
        <f>BE446*AX446</f>
        <v>0</v>
      </c>
      <c r="BR446" s="28"/>
      <c r="BS446" s="32"/>
    </row>
    <row r="447" spans="1:71" s="6" customFormat="1" ht="41.25" customHeight="1">
      <c r="A447" s="18">
        <v>444</v>
      </c>
      <c r="B447" s="18" t="s">
        <v>94</v>
      </c>
      <c r="C447" s="18" t="s">
        <v>177</v>
      </c>
      <c r="D447" s="18" t="s">
        <v>96</v>
      </c>
      <c r="E447" s="22" t="s">
        <v>970</v>
      </c>
      <c r="F447" s="52" t="s">
        <v>123</v>
      </c>
      <c r="G447" s="52"/>
      <c r="H447" s="22"/>
      <c r="I447" s="22"/>
      <c r="J447" s="22"/>
      <c r="K447" s="22"/>
      <c r="L447" s="22"/>
      <c r="M447" s="22"/>
      <c r="N447" s="22" t="s">
        <v>971</v>
      </c>
      <c r="O447" s="23"/>
      <c r="P447" s="18" t="s">
        <v>56</v>
      </c>
      <c r="Q447" s="72"/>
      <c r="R447" s="72"/>
      <c r="S447" s="25">
        <v>20</v>
      </c>
      <c r="T447" s="26"/>
      <c r="U447" s="26"/>
      <c r="V447" s="25">
        <v>20</v>
      </c>
      <c r="W447" s="26"/>
      <c r="X447" s="25">
        <v>20</v>
      </c>
      <c r="Y447" s="26">
        <f>T447+R447+Q447+U447+W447</f>
        <v>0</v>
      </c>
      <c r="Z447" s="27">
        <v>140</v>
      </c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>
        <f>SUM(AM447:AS447)</f>
        <v>0</v>
      </c>
      <c r="AM447" s="26"/>
      <c r="AN447" s="26"/>
      <c r="AO447" s="26"/>
      <c r="AP447" s="26"/>
      <c r="AQ447" s="26"/>
      <c r="AR447" s="26"/>
      <c r="AS447" s="26"/>
      <c r="AT447" s="28"/>
      <c r="AU447" s="28"/>
      <c r="AV447" s="26"/>
      <c r="AW447" s="26"/>
      <c r="AX447" s="28"/>
      <c r="AY447" s="72">
        <f>Y447-AV447-AX447-AW447</f>
        <v>0</v>
      </c>
      <c r="AZ447" s="68"/>
      <c r="BA447" s="26">
        <f>AL447+AG447+AA447+AT447</f>
        <v>0</v>
      </c>
      <c r="BB447" s="30">
        <f>BD447+AO447+AG447</f>
        <v>0</v>
      </c>
      <c r="BC447" s="30">
        <f>BD447+AS447</f>
        <v>0</v>
      </c>
      <c r="BD447" s="30">
        <f>IF(BA447&gt;0,Y447-BA447,BA447)</f>
        <v>0</v>
      </c>
      <c r="BE447" s="31">
        <v>162</v>
      </c>
      <c r="BF447" s="30" t="s">
        <v>57</v>
      </c>
      <c r="BG447" s="31">
        <f>BE447*Q447</f>
        <v>0</v>
      </c>
      <c r="BH447" s="31">
        <f>BE447*R447*0.4</f>
        <v>0</v>
      </c>
      <c r="BI447" s="142"/>
      <c r="BJ447" s="142"/>
      <c r="BK447" s="32">
        <f>Y447*BE447</f>
        <v>0</v>
      </c>
      <c r="BL447" s="25">
        <v>20</v>
      </c>
      <c r="BM447" s="25">
        <v>20</v>
      </c>
      <c r="BN447" s="25">
        <v>20</v>
      </c>
      <c r="BO447" s="25">
        <v>20</v>
      </c>
      <c r="BP447" s="25">
        <f>BE447*AV447</f>
        <v>0</v>
      </c>
      <c r="BQ447" s="25">
        <f>BE447*AX447</f>
        <v>0</v>
      </c>
      <c r="BR447" s="28"/>
      <c r="BS447" s="32"/>
    </row>
    <row r="448" spans="1:71" s="6" customFormat="1" ht="41.25" customHeight="1">
      <c r="A448" s="18">
        <v>445</v>
      </c>
      <c r="B448" s="18" t="s">
        <v>94</v>
      </c>
      <c r="C448" s="18" t="s">
        <v>177</v>
      </c>
      <c r="D448" s="18" t="s">
        <v>96</v>
      </c>
      <c r="E448" s="22" t="s">
        <v>970</v>
      </c>
      <c r="F448" s="52" t="s">
        <v>123</v>
      </c>
      <c r="G448" s="52"/>
      <c r="H448" s="22"/>
      <c r="I448" s="22"/>
      <c r="J448" s="22"/>
      <c r="K448" s="22"/>
      <c r="L448" s="22"/>
      <c r="M448" s="22"/>
      <c r="N448" s="22" t="s">
        <v>972</v>
      </c>
      <c r="O448" s="23"/>
      <c r="P448" s="18" t="s">
        <v>56</v>
      </c>
      <c r="Q448" s="72"/>
      <c r="R448" s="72"/>
      <c r="S448" s="25">
        <v>20</v>
      </c>
      <c r="T448" s="26"/>
      <c r="U448" s="26"/>
      <c r="V448" s="25">
        <v>20</v>
      </c>
      <c r="W448" s="26"/>
      <c r="X448" s="25">
        <v>20</v>
      </c>
      <c r="Y448" s="26">
        <f>T448+R448+Q448+U448+W448</f>
        <v>0</v>
      </c>
      <c r="Z448" s="27">
        <v>140</v>
      </c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>
        <f>SUM(AM448:AS448)</f>
        <v>0</v>
      </c>
      <c r="AM448" s="26"/>
      <c r="AN448" s="26"/>
      <c r="AO448" s="26"/>
      <c r="AP448" s="26"/>
      <c r="AQ448" s="26"/>
      <c r="AR448" s="26"/>
      <c r="AS448" s="26"/>
      <c r="AT448" s="28"/>
      <c r="AU448" s="28"/>
      <c r="AV448" s="26"/>
      <c r="AW448" s="26"/>
      <c r="AX448" s="28"/>
      <c r="AY448" s="72">
        <f>Y448-AV448-AX448-AW448</f>
        <v>0</v>
      </c>
      <c r="AZ448" s="68"/>
      <c r="BA448" s="26">
        <f>AL448+AG448+AA448+AT448</f>
        <v>0</v>
      </c>
      <c r="BB448" s="30">
        <f>BD448+AO448+AG448</f>
        <v>0</v>
      </c>
      <c r="BC448" s="30">
        <f>BD448+AS448</f>
        <v>0</v>
      </c>
      <c r="BD448" s="30">
        <f>IF(BA448&gt;0,Y448-BA448,BA448)</f>
        <v>0</v>
      </c>
      <c r="BE448" s="31">
        <v>162</v>
      </c>
      <c r="BF448" s="30" t="s">
        <v>57</v>
      </c>
      <c r="BG448" s="31">
        <f>BE448*Q448</f>
        <v>0</v>
      </c>
      <c r="BH448" s="31">
        <f>BE448*R448*0.4</f>
        <v>0</v>
      </c>
      <c r="BI448" s="142"/>
      <c r="BJ448" s="142"/>
      <c r="BK448" s="32">
        <f>Y448*BE448</f>
        <v>0</v>
      </c>
      <c r="BL448" s="25">
        <v>20</v>
      </c>
      <c r="BM448" s="25">
        <v>20</v>
      </c>
      <c r="BN448" s="25">
        <v>20</v>
      </c>
      <c r="BO448" s="25">
        <v>20</v>
      </c>
      <c r="BP448" s="25">
        <f>BE448*AV448</f>
        <v>0</v>
      </c>
      <c r="BQ448" s="25">
        <f>BE448*AX448</f>
        <v>0</v>
      </c>
      <c r="BR448" s="26"/>
      <c r="BS448" s="32"/>
    </row>
    <row r="449" spans="1:71" s="6" customFormat="1" ht="41.25" customHeight="1">
      <c r="A449" s="18">
        <v>446</v>
      </c>
      <c r="B449" s="18" t="s">
        <v>58</v>
      </c>
      <c r="C449" s="33" t="s">
        <v>481</v>
      </c>
      <c r="D449" s="75" t="s">
        <v>482</v>
      </c>
      <c r="E449" s="22" t="s">
        <v>973</v>
      </c>
      <c r="F449" s="75" t="s">
        <v>482</v>
      </c>
      <c r="G449" s="75"/>
      <c r="H449" s="22"/>
      <c r="I449" s="22"/>
      <c r="J449" s="22"/>
      <c r="K449" s="22"/>
      <c r="L449" s="22"/>
      <c r="M449" s="22"/>
      <c r="N449" s="22" t="s">
        <v>974</v>
      </c>
      <c r="O449" s="23"/>
      <c r="P449" s="18" t="s">
        <v>56</v>
      </c>
      <c r="Q449" s="72"/>
      <c r="R449" s="72"/>
      <c r="S449" s="35">
        <v>5</v>
      </c>
      <c r="T449" s="26"/>
      <c r="U449" s="26"/>
      <c r="V449" s="35"/>
      <c r="W449" s="154"/>
      <c r="X449" s="35"/>
      <c r="Y449" s="26">
        <f>T449+R449+Q449+U449+W449</f>
        <v>0</v>
      </c>
      <c r="Z449" s="27">
        <v>5</v>
      </c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>
        <f>SUM(AM449:AS449)</f>
        <v>0</v>
      </c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72">
        <f>Y449-AV449-AX449-AW449</f>
        <v>0</v>
      </c>
      <c r="AZ449" s="68"/>
      <c r="BA449" s="26">
        <f>AL449+AG449+AA449+AT449</f>
        <v>0</v>
      </c>
      <c r="BB449" s="30">
        <f>BD449+AO449+AG449</f>
        <v>0</v>
      </c>
      <c r="BC449" s="30">
        <f>BD449+AS449</f>
        <v>0</v>
      </c>
      <c r="BD449" s="30">
        <f>IF(BA449&gt;0,Y449-BA449,BA449)</f>
        <v>0</v>
      </c>
      <c r="BE449" s="31">
        <v>747.9</v>
      </c>
      <c r="BF449" s="30" t="s">
        <v>57</v>
      </c>
      <c r="BG449" s="31">
        <f>BE449*Q449</f>
        <v>0</v>
      </c>
      <c r="BH449" s="31">
        <f>BE449*R449*0.4</f>
        <v>0</v>
      </c>
      <c r="BI449" s="142"/>
      <c r="BJ449" s="142"/>
      <c r="BK449" s="32">
        <f>Y449*BE449</f>
        <v>0</v>
      </c>
      <c r="BL449" s="35"/>
      <c r="BM449" s="35"/>
      <c r="BN449" s="35"/>
      <c r="BO449" s="35"/>
      <c r="BP449" s="25">
        <f>BE449*AV449</f>
        <v>0</v>
      </c>
      <c r="BQ449" s="25">
        <f>BE449*AX449</f>
        <v>0</v>
      </c>
      <c r="BR449" s="28"/>
      <c r="BS449" s="32"/>
    </row>
    <row r="450" spans="1:71" s="6" customFormat="1" ht="41.25" customHeight="1">
      <c r="A450" s="18">
        <v>447</v>
      </c>
      <c r="B450" s="18" t="s">
        <v>58</v>
      </c>
      <c r="C450" s="33" t="s">
        <v>481</v>
      </c>
      <c r="D450" s="75" t="s">
        <v>482</v>
      </c>
      <c r="E450" s="22" t="s">
        <v>973</v>
      </c>
      <c r="F450" s="75" t="s">
        <v>482</v>
      </c>
      <c r="G450" s="75"/>
      <c r="H450" s="22"/>
      <c r="I450" s="22"/>
      <c r="J450" s="22"/>
      <c r="K450" s="22"/>
      <c r="L450" s="22"/>
      <c r="M450" s="22"/>
      <c r="N450" s="22" t="s">
        <v>975</v>
      </c>
      <c r="O450" s="23"/>
      <c r="P450" s="18" t="s">
        <v>56</v>
      </c>
      <c r="Q450" s="72"/>
      <c r="R450" s="72"/>
      <c r="S450" s="35">
        <v>5</v>
      </c>
      <c r="T450" s="26"/>
      <c r="U450" s="26"/>
      <c r="V450" s="35"/>
      <c r="W450" s="154"/>
      <c r="X450" s="35"/>
      <c r="Y450" s="26">
        <f>T450+R450+Q450+U450+W450</f>
        <v>0</v>
      </c>
      <c r="Z450" s="27">
        <v>5</v>
      </c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>
        <f>SUM(AM450:AS450)</f>
        <v>0</v>
      </c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72">
        <f>Y450-AV450-AX450-AW450</f>
        <v>0</v>
      </c>
      <c r="AZ450" s="68"/>
      <c r="BA450" s="26">
        <f>AL450+AG450+AA450+AT450</f>
        <v>0</v>
      </c>
      <c r="BB450" s="30">
        <f>BD450+AO450+AG450</f>
        <v>0</v>
      </c>
      <c r="BC450" s="30">
        <f>BD450+AS450</f>
        <v>0</v>
      </c>
      <c r="BD450" s="30">
        <f>IF(BA450&gt;0,Y450-BA450,BA450)</f>
        <v>0</v>
      </c>
      <c r="BE450" s="31">
        <v>747.9</v>
      </c>
      <c r="BF450" s="30" t="s">
        <v>57</v>
      </c>
      <c r="BG450" s="31">
        <f>BE450*Q450</f>
        <v>0</v>
      </c>
      <c r="BH450" s="31">
        <f>BE450*R450*0.4</f>
        <v>0</v>
      </c>
      <c r="BI450" s="142"/>
      <c r="BJ450" s="142"/>
      <c r="BK450" s="32">
        <f>Y450*BE450</f>
        <v>0</v>
      </c>
      <c r="BL450" s="35"/>
      <c r="BM450" s="35"/>
      <c r="BN450" s="35"/>
      <c r="BO450" s="35"/>
      <c r="BP450" s="25">
        <f>BE450*AV450</f>
        <v>0</v>
      </c>
      <c r="BQ450" s="25">
        <f>BE450*AX450</f>
        <v>0</v>
      </c>
      <c r="BR450" s="28"/>
      <c r="BS450" s="32"/>
    </row>
    <row r="451" spans="1:71" s="6" customFormat="1" ht="41.25" customHeight="1">
      <c r="A451" s="18">
        <v>448</v>
      </c>
      <c r="B451" s="18" t="s">
        <v>58</v>
      </c>
      <c r="C451" s="33" t="s">
        <v>481</v>
      </c>
      <c r="D451" s="75" t="s">
        <v>482</v>
      </c>
      <c r="E451" s="22" t="s">
        <v>973</v>
      </c>
      <c r="F451" s="75" t="s">
        <v>482</v>
      </c>
      <c r="G451" s="75"/>
      <c r="H451" s="22"/>
      <c r="I451" s="22"/>
      <c r="J451" s="22"/>
      <c r="K451" s="22"/>
      <c r="L451" s="22"/>
      <c r="M451" s="22"/>
      <c r="N451" s="22" t="s">
        <v>976</v>
      </c>
      <c r="O451" s="23"/>
      <c r="P451" s="18" t="s">
        <v>56</v>
      </c>
      <c r="Q451" s="29">
        <v>5</v>
      </c>
      <c r="R451" s="72"/>
      <c r="S451" s="35">
        <v>5</v>
      </c>
      <c r="T451" s="26"/>
      <c r="U451" s="26"/>
      <c r="V451" s="35"/>
      <c r="W451" s="154"/>
      <c r="X451" s="35"/>
      <c r="Y451" s="53">
        <f>T451+R451+Q451+U451+W451</f>
        <v>5</v>
      </c>
      <c r="Z451" s="27">
        <v>5</v>
      </c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>
        <f>SUM(AM451:AS451)</f>
        <v>0</v>
      </c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9">
        <f>Y451-AV451-AX451-AW451</f>
        <v>5</v>
      </c>
      <c r="AZ451" s="29"/>
      <c r="BA451" s="26">
        <f>AL451+AG451+AA451+AT451</f>
        <v>0</v>
      </c>
      <c r="BB451" s="30">
        <f>BD451+AO451+AG451</f>
        <v>0</v>
      </c>
      <c r="BC451" s="30">
        <f>BD451+AS451</f>
        <v>0</v>
      </c>
      <c r="BD451" s="30">
        <f>IF(BA451&gt;0,Y451-BA451,BA451)</f>
        <v>0</v>
      </c>
      <c r="BE451" s="31">
        <v>747.9</v>
      </c>
      <c r="BF451" s="30" t="s">
        <v>57</v>
      </c>
      <c r="BG451" s="31">
        <f>BE451*Q451</f>
        <v>3739.5</v>
      </c>
      <c r="BH451" s="31">
        <f>BE451*R451*0.4</f>
        <v>0</v>
      </c>
      <c r="BI451" s="142"/>
      <c r="BJ451" s="142"/>
      <c r="BK451" s="32">
        <f>Y451*BE451</f>
        <v>3739.5</v>
      </c>
      <c r="BL451" s="35"/>
      <c r="BM451" s="35"/>
      <c r="BN451" s="35"/>
      <c r="BO451" s="35"/>
      <c r="BP451" s="25">
        <f>BE451*AV451</f>
        <v>0</v>
      </c>
      <c r="BQ451" s="25">
        <f>BE451*AX451</f>
        <v>0</v>
      </c>
      <c r="BR451" s="28"/>
      <c r="BS451" s="32"/>
    </row>
    <row r="452" spans="1:71" s="6" customFormat="1" ht="41.25" customHeight="1">
      <c r="A452" s="18">
        <v>449</v>
      </c>
      <c r="B452" s="18" t="s">
        <v>58</v>
      </c>
      <c r="C452" s="33" t="s">
        <v>481</v>
      </c>
      <c r="D452" s="75" t="s">
        <v>482</v>
      </c>
      <c r="E452" s="22" t="s">
        <v>973</v>
      </c>
      <c r="F452" s="75" t="s">
        <v>482</v>
      </c>
      <c r="G452" s="75"/>
      <c r="H452" s="22"/>
      <c r="I452" s="22"/>
      <c r="J452" s="22"/>
      <c r="K452" s="22"/>
      <c r="L452" s="22"/>
      <c r="M452" s="22"/>
      <c r="N452" s="22" t="s">
        <v>977</v>
      </c>
      <c r="O452" s="23"/>
      <c r="P452" s="18" t="s">
        <v>56</v>
      </c>
      <c r="Q452" s="72"/>
      <c r="R452" s="72"/>
      <c r="S452" s="35">
        <v>5</v>
      </c>
      <c r="T452" s="26"/>
      <c r="U452" s="26"/>
      <c r="V452" s="35"/>
      <c r="W452" s="154"/>
      <c r="X452" s="35"/>
      <c r="Y452" s="26">
        <f>T452+R452+Q452+U452+W452</f>
        <v>0</v>
      </c>
      <c r="Z452" s="27">
        <v>5</v>
      </c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>
        <f>SUM(AM452:AS452)</f>
        <v>0</v>
      </c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72">
        <f>Y452-AV452-AX452-AW452</f>
        <v>0</v>
      </c>
      <c r="AZ452" s="68"/>
      <c r="BA452" s="26">
        <f>AL452+AG452+AA452+AT452</f>
        <v>0</v>
      </c>
      <c r="BB452" s="30">
        <f>BD452+AO452+AG452</f>
        <v>0</v>
      </c>
      <c r="BC452" s="30">
        <f>BD452+AS452</f>
        <v>0</v>
      </c>
      <c r="BD452" s="30">
        <f>IF(BA452&gt;0,Y452-BA452,BA452)</f>
        <v>0</v>
      </c>
      <c r="BE452" s="31">
        <v>747.9</v>
      </c>
      <c r="BF452" s="30" t="s">
        <v>57</v>
      </c>
      <c r="BG452" s="31">
        <f>BE452*Q452</f>
        <v>0</v>
      </c>
      <c r="BH452" s="31">
        <f>BE452*R452*0.4</f>
        <v>0</v>
      </c>
      <c r="BI452" s="142"/>
      <c r="BJ452" s="142"/>
      <c r="BK452" s="32">
        <f>Y452*BE452</f>
        <v>0</v>
      </c>
      <c r="BL452" s="35"/>
      <c r="BM452" s="35"/>
      <c r="BN452" s="35"/>
      <c r="BO452" s="35"/>
      <c r="BP452" s="25">
        <f>BE452*AV452</f>
        <v>0</v>
      </c>
      <c r="BQ452" s="25">
        <f>BE452*AX452</f>
        <v>0</v>
      </c>
      <c r="BR452" s="26"/>
      <c r="BS452" s="32"/>
    </row>
    <row r="453" spans="1:71" s="6" customFormat="1" ht="41.25" customHeight="1">
      <c r="A453" s="18">
        <v>450</v>
      </c>
      <c r="B453" s="18" t="s">
        <v>58</v>
      </c>
      <c r="C453" s="33" t="s">
        <v>481</v>
      </c>
      <c r="D453" s="75" t="s">
        <v>482</v>
      </c>
      <c r="E453" s="22" t="s">
        <v>973</v>
      </c>
      <c r="F453" s="75" t="s">
        <v>482</v>
      </c>
      <c r="G453" s="75"/>
      <c r="H453" s="22"/>
      <c r="I453" s="22"/>
      <c r="J453" s="22"/>
      <c r="K453" s="22"/>
      <c r="L453" s="22"/>
      <c r="M453" s="22"/>
      <c r="N453" s="22" t="s">
        <v>978</v>
      </c>
      <c r="O453" s="23"/>
      <c r="P453" s="18" t="s">
        <v>56</v>
      </c>
      <c r="Q453" s="72"/>
      <c r="R453" s="72"/>
      <c r="S453" s="35">
        <v>5</v>
      </c>
      <c r="T453" s="26"/>
      <c r="U453" s="26"/>
      <c r="V453" s="35"/>
      <c r="W453" s="154"/>
      <c r="X453" s="35"/>
      <c r="Y453" s="26">
        <f>T453+R453+Q453+U453+W453</f>
        <v>0</v>
      </c>
      <c r="Z453" s="27">
        <v>5</v>
      </c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>
        <f>SUM(AM453:AS453)</f>
        <v>0</v>
      </c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72">
        <f>Y453-AV453-AX453-AW453</f>
        <v>0</v>
      </c>
      <c r="AZ453" s="68"/>
      <c r="BA453" s="26">
        <f>AL453+AG453+AA453+AT453</f>
        <v>0</v>
      </c>
      <c r="BB453" s="30">
        <f>BD453+AO453+AG453</f>
        <v>0</v>
      </c>
      <c r="BC453" s="30">
        <f>BD453+AS453</f>
        <v>0</v>
      </c>
      <c r="BD453" s="30">
        <f>IF(BA453&gt;0,Y453-BA453,BA453)</f>
        <v>0</v>
      </c>
      <c r="BE453" s="31">
        <v>747.9</v>
      </c>
      <c r="BF453" s="30" t="s">
        <v>57</v>
      </c>
      <c r="BG453" s="31">
        <f>BE453*Q453</f>
        <v>0</v>
      </c>
      <c r="BH453" s="31">
        <f>BE453*R453*0.4</f>
        <v>0</v>
      </c>
      <c r="BI453" s="142"/>
      <c r="BJ453" s="142"/>
      <c r="BK453" s="32">
        <f>Y453*BE453</f>
        <v>0</v>
      </c>
      <c r="BL453" s="35"/>
      <c r="BM453" s="35"/>
      <c r="BN453" s="35"/>
      <c r="BO453" s="35"/>
      <c r="BP453" s="25">
        <f>BE453*AV453</f>
        <v>0</v>
      </c>
      <c r="BQ453" s="25">
        <f>BE453*AX453</f>
        <v>0</v>
      </c>
      <c r="BR453" s="28"/>
      <c r="BS453" s="32"/>
    </row>
    <row r="454" spans="1:71" s="6" customFormat="1" ht="41.25" customHeight="1">
      <c r="A454" s="18">
        <v>451</v>
      </c>
      <c r="B454" s="18" t="s">
        <v>58</v>
      </c>
      <c r="C454" s="33" t="s">
        <v>481</v>
      </c>
      <c r="D454" s="75" t="s">
        <v>482</v>
      </c>
      <c r="E454" s="22" t="s">
        <v>973</v>
      </c>
      <c r="F454" s="75" t="s">
        <v>482</v>
      </c>
      <c r="G454" s="75"/>
      <c r="H454" s="22"/>
      <c r="I454" s="22"/>
      <c r="J454" s="22"/>
      <c r="K454" s="22"/>
      <c r="L454" s="22"/>
      <c r="M454" s="22"/>
      <c r="N454" s="22" t="s">
        <v>979</v>
      </c>
      <c r="O454" s="23"/>
      <c r="P454" s="18" t="s">
        <v>56</v>
      </c>
      <c r="Q454" s="72"/>
      <c r="R454" s="72"/>
      <c r="S454" s="35">
        <v>5</v>
      </c>
      <c r="T454" s="26"/>
      <c r="U454" s="26"/>
      <c r="V454" s="35"/>
      <c r="W454" s="154"/>
      <c r="X454" s="35"/>
      <c r="Y454" s="26">
        <f>T454+R454+Q454+U454+W454</f>
        <v>0</v>
      </c>
      <c r="Z454" s="27">
        <v>5</v>
      </c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>
        <f>SUM(AM454:AS454)</f>
        <v>0</v>
      </c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72">
        <f>Y454-AV454-AX454-AW454</f>
        <v>0</v>
      </c>
      <c r="AZ454" s="68"/>
      <c r="BA454" s="26">
        <f>AL454+AG454+AA454+AT454</f>
        <v>0</v>
      </c>
      <c r="BB454" s="30">
        <f>BD454+AO454+AG454</f>
        <v>0</v>
      </c>
      <c r="BC454" s="30">
        <f>BD454+AS454</f>
        <v>0</v>
      </c>
      <c r="BD454" s="30">
        <f>IF(BA454&gt;0,Y454-BA454,BA454)</f>
        <v>0</v>
      </c>
      <c r="BE454" s="31">
        <v>747.9</v>
      </c>
      <c r="BF454" s="30" t="s">
        <v>57</v>
      </c>
      <c r="BG454" s="31">
        <f>BE454*Q454</f>
        <v>0</v>
      </c>
      <c r="BH454" s="31">
        <f>BE454*R454*0.4</f>
        <v>0</v>
      </c>
      <c r="BI454" s="142"/>
      <c r="BJ454" s="142"/>
      <c r="BK454" s="32">
        <f>Y454*BE454</f>
        <v>0</v>
      </c>
      <c r="BL454" s="35"/>
      <c r="BM454" s="35"/>
      <c r="BN454" s="35"/>
      <c r="BO454" s="35"/>
      <c r="BP454" s="25">
        <f>BE454*AV454</f>
        <v>0</v>
      </c>
      <c r="BQ454" s="25">
        <f>BE454*AX454</f>
        <v>0</v>
      </c>
      <c r="BR454" s="28"/>
      <c r="BS454" s="32"/>
    </row>
    <row r="455" spans="1:71" s="6" customFormat="1" ht="41.25" customHeight="1">
      <c r="A455" s="18">
        <v>452</v>
      </c>
      <c r="B455" s="18" t="s">
        <v>58</v>
      </c>
      <c r="C455" s="33" t="s">
        <v>481</v>
      </c>
      <c r="D455" s="75" t="s">
        <v>482</v>
      </c>
      <c r="E455" s="22" t="s">
        <v>980</v>
      </c>
      <c r="F455" s="75" t="s">
        <v>482</v>
      </c>
      <c r="G455" s="75"/>
      <c r="H455" s="22"/>
      <c r="I455" s="22"/>
      <c r="J455" s="22"/>
      <c r="K455" s="22"/>
      <c r="L455" s="22"/>
      <c r="M455" s="22"/>
      <c r="N455" s="22" t="s">
        <v>981</v>
      </c>
      <c r="O455" s="23"/>
      <c r="P455" s="18" t="s">
        <v>56</v>
      </c>
      <c r="Q455" s="72"/>
      <c r="R455" s="72"/>
      <c r="S455" s="35">
        <v>5</v>
      </c>
      <c r="T455" s="26"/>
      <c r="U455" s="26"/>
      <c r="V455" s="35"/>
      <c r="W455" s="154"/>
      <c r="X455" s="35"/>
      <c r="Y455" s="26">
        <f>T455+R455+Q455+U455+W455</f>
        <v>0</v>
      </c>
      <c r="Z455" s="27">
        <v>5</v>
      </c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>
        <f>SUM(AM455:AS455)</f>
        <v>0</v>
      </c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72">
        <f>Y455-AV455-AX455-AW455</f>
        <v>0</v>
      </c>
      <c r="AZ455" s="68"/>
      <c r="BA455" s="26">
        <f>AL455+AG455+AA455+AT455</f>
        <v>0</v>
      </c>
      <c r="BB455" s="30">
        <f>BD455+AO455+AG455</f>
        <v>0</v>
      </c>
      <c r="BC455" s="30">
        <f>BD455+AS455</f>
        <v>0</v>
      </c>
      <c r="BD455" s="30">
        <f>IF(BA455&gt;0,Y455-BA455,BA455)</f>
        <v>0</v>
      </c>
      <c r="BE455" s="31">
        <v>747.9</v>
      </c>
      <c r="BF455" s="30" t="s">
        <v>57</v>
      </c>
      <c r="BG455" s="31">
        <f>BE455*Q455</f>
        <v>0</v>
      </c>
      <c r="BH455" s="31">
        <f>BE455*R455*0.4</f>
        <v>0</v>
      </c>
      <c r="BI455" s="142"/>
      <c r="BJ455" s="142"/>
      <c r="BK455" s="32">
        <f>Y455*BE455</f>
        <v>0</v>
      </c>
      <c r="BL455" s="35"/>
      <c r="BM455" s="35"/>
      <c r="BN455" s="35"/>
      <c r="BO455" s="35"/>
      <c r="BP455" s="25">
        <f>BE455*AV455</f>
        <v>0</v>
      </c>
      <c r="BQ455" s="25">
        <f>BE455*AX455</f>
        <v>0</v>
      </c>
      <c r="BR455" s="26"/>
      <c r="BS455" s="32"/>
    </row>
    <row r="456" spans="1:71" s="6" customFormat="1" ht="41.25" customHeight="1">
      <c r="A456" s="18">
        <v>453</v>
      </c>
      <c r="B456" s="18" t="s">
        <v>58</v>
      </c>
      <c r="C456" s="33" t="s">
        <v>481</v>
      </c>
      <c r="D456" s="75" t="s">
        <v>482</v>
      </c>
      <c r="E456" s="22" t="s">
        <v>980</v>
      </c>
      <c r="F456" s="75" t="s">
        <v>482</v>
      </c>
      <c r="G456" s="75"/>
      <c r="H456" s="22"/>
      <c r="I456" s="22"/>
      <c r="J456" s="22"/>
      <c r="K456" s="22"/>
      <c r="L456" s="22"/>
      <c r="M456" s="22"/>
      <c r="N456" s="22" t="s">
        <v>982</v>
      </c>
      <c r="O456" s="23"/>
      <c r="P456" s="18" t="s">
        <v>56</v>
      </c>
      <c r="Q456" s="29">
        <v>30</v>
      </c>
      <c r="R456" s="72"/>
      <c r="S456" s="35">
        <v>5</v>
      </c>
      <c r="T456" s="26"/>
      <c r="U456" s="26"/>
      <c r="V456" s="35"/>
      <c r="W456" s="154"/>
      <c r="X456" s="35"/>
      <c r="Y456" s="53">
        <f>T456+R456+Q456+U456+W456</f>
        <v>30</v>
      </c>
      <c r="Z456" s="27">
        <v>5</v>
      </c>
      <c r="AA456" s="26"/>
      <c r="AB456" s="26"/>
      <c r="AC456" s="26"/>
      <c r="AD456" s="26"/>
      <c r="AE456" s="26"/>
      <c r="AF456" s="26"/>
      <c r="AG456" s="57">
        <f>SUBTOTAL(9,AH456:AK456)</f>
        <v>28</v>
      </c>
      <c r="AH456" s="26"/>
      <c r="AI456" s="26"/>
      <c r="AJ456" s="57">
        <v>28</v>
      </c>
      <c r="AK456" s="26"/>
      <c r="AL456" s="26">
        <f>SUM(AM456:AS456)</f>
        <v>0</v>
      </c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9">
        <f>Y456-AV456-AX456-AW456</f>
        <v>30</v>
      </c>
      <c r="AZ456" s="29"/>
      <c r="BA456" s="26">
        <f>AL456+AG456+AA456+AT456</f>
        <v>28</v>
      </c>
      <c r="BB456" s="30">
        <f>BD456+AO456+AG456</f>
        <v>30</v>
      </c>
      <c r="BC456" s="30">
        <f>BD456+AS456</f>
        <v>2</v>
      </c>
      <c r="BD456" s="30">
        <f>IF(BA456&gt;0,Y456-BA456,BA456)</f>
        <v>2</v>
      </c>
      <c r="BE456" s="31">
        <v>747.9</v>
      </c>
      <c r="BF456" s="30" t="s">
        <v>57</v>
      </c>
      <c r="BG456" s="31">
        <f>BE456*Q456</f>
        <v>22437</v>
      </c>
      <c r="BH456" s="31">
        <f>BE456*R456*0.4</f>
        <v>0</v>
      </c>
      <c r="BI456" s="142"/>
      <c r="BJ456" s="142"/>
      <c r="BK456" s="32">
        <f>Y456*BE456</f>
        <v>22437</v>
      </c>
      <c r="BL456" s="35"/>
      <c r="BM456" s="35"/>
      <c r="BN456" s="35"/>
      <c r="BO456" s="35"/>
      <c r="BP456" s="25">
        <f>BE456*AV456</f>
        <v>0</v>
      </c>
      <c r="BQ456" s="25">
        <f>BE456*AX456</f>
        <v>0</v>
      </c>
      <c r="BR456" s="26"/>
      <c r="BS456" s="32"/>
    </row>
    <row r="457" spans="1:71" s="6" customFormat="1" ht="41.25" customHeight="1">
      <c r="A457" s="18">
        <v>454</v>
      </c>
      <c r="B457" s="18" t="s">
        <v>58</v>
      </c>
      <c r="C457" s="33" t="s">
        <v>481</v>
      </c>
      <c r="D457" s="75" t="s">
        <v>482</v>
      </c>
      <c r="E457" s="22" t="s">
        <v>980</v>
      </c>
      <c r="F457" s="75" t="s">
        <v>482</v>
      </c>
      <c r="G457" s="75"/>
      <c r="H457" s="22"/>
      <c r="I457" s="22"/>
      <c r="J457" s="22"/>
      <c r="K457" s="22"/>
      <c r="L457" s="22"/>
      <c r="M457" s="22"/>
      <c r="N457" s="22" t="s">
        <v>983</v>
      </c>
      <c r="O457" s="23"/>
      <c r="P457" s="18" t="s">
        <v>56</v>
      </c>
      <c r="Q457" s="72"/>
      <c r="R457" s="72"/>
      <c r="S457" s="35">
        <v>5</v>
      </c>
      <c r="T457" s="26"/>
      <c r="U457" s="26"/>
      <c r="V457" s="35"/>
      <c r="W457" s="154"/>
      <c r="X457" s="35"/>
      <c r="Y457" s="26">
        <f>T457+R457+Q457+U457+W457</f>
        <v>0</v>
      </c>
      <c r="Z457" s="27">
        <v>5</v>
      </c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>
        <f>SUM(AM457:AS457)</f>
        <v>0</v>
      </c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72">
        <f>Y457-AV457-AX457-AW457</f>
        <v>0</v>
      </c>
      <c r="AZ457" s="68"/>
      <c r="BA457" s="26">
        <f>AL457+AG457+AA457+AT457</f>
        <v>0</v>
      </c>
      <c r="BB457" s="30">
        <f>BD457+AO457+AG457</f>
        <v>0</v>
      </c>
      <c r="BC457" s="30">
        <f>BD457+AS457</f>
        <v>0</v>
      </c>
      <c r="BD457" s="30">
        <f>IF(BA457&gt;0,Y457-BA457,BA457)</f>
        <v>0</v>
      </c>
      <c r="BE457" s="31">
        <v>747.9</v>
      </c>
      <c r="BF457" s="30" t="s">
        <v>57</v>
      </c>
      <c r="BG457" s="31">
        <f>BE457*Q457</f>
        <v>0</v>
      </c>
      <c r="BH457" s="31">
        <f>BE457*R457*0.4</f>
        <v>0</v>
      </c>
      <c r="BI457" s="142"/>
      <c r="BJ457" s="142"/>
      <c r="BK457" s="32">
        <f>Y457*BE457</f>
        <v>0</v>
      </c>
      <c r="BL457" s="35"/>
      <c r="BM457" s="35"/>
      <c r="BN457" s="35"/>
      <c r="BO457" s="35"/>
      <c r="BP457" s="25">
        <f>BE457*AV457</f>
        <v>0</v>
      </c>
      <c r="BQ457" s="25">
        <f>BE457*AX457</f>
        <v>0</v>
      </c>
      <c r="BR457" s="28"/>
      <c r="BS457" s="32"/>
    </row>
    <row r="458" spans="1:71" s="6" customFormat="1" ht="41.25" customHeight="1">
      <c r="A458" s="18">
        <v>455</v>
      </c>
      <c r="B458" s="18" t="s">
        <v>58</v>
      </c>
      <c r="C458" s="33" t="s">
        <v>481</v>
      </c>
      <c r="D458" s="75" t="s">
        <v>482</v>
      </c>
      <c r="E458" s="22" t="s">
        <v>980</v>
      </c>
      <c r="F458" s="75" t="s">
        <v>482</v>
      </c>
      <c r="G458" s="75"/>
      <c r="H458" s="22"/>
      <c r="I458" s="22"/>
      <c r="J458" s="22"/>
      <c r="K458" s="22"/>
      <c r="L458" s="22"/>
      <c r="M458" s="22"/>
      <c r="N458" s="22" t="s">
        <v>984</v>
      </c>
      <c r="O458" s="23"/>
      <c r="P458" s="18" t="s">
        <v>56</v>
      </c>
      <c r="Q458" s="72"/>
      <c r="R458" s="72"/>
      <c r="S458" s="35">
        <v>5</v>
      </c>
      <c r="T458" s="26"/>
      <c r="U458" s="26"/>
      <c r="V458" s="35"/>
      <c r="W458" s="154"/>
      <c r="X458" s="35"/>
      <c r="Y458" s="26">
        <f>T458+R458+Q458+U458+W458</f>
        <v>0</v>
      </c>
      <c r="Z458" s="27">
        <v>5</v>
      </c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>
        <f>SUM(AM458:AS458)</f>
        <v>0</v>
      </c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72">
        <f>Y458-AV458-AX458-AW458</f>
        <v>0</v>
      </c>
      <c r="AZ458" s="68"/>
      <c r="BA458" s="26">
        <f>AL458+AG458+AA458+AT458</f>
        <v>0</v>
      </c>
      <c r="BB458" s="30">
        <f>BD458+AO458+AG458</f>
        <v>0</v>
      </c>
      <c r="BC458" s="30">
        <f>BD458+AS458</f>
        <v>0</v>
      </c>
      <c r="BD458" s="30">
        <f>IF(BA458&gt;0,Y458-BA458,BA458)</f>
        <v>0</v>
      </c>
      <c r="BE458" s="31">
        <v>747.9</v>
      </c>
      <c r="BF458" s="30" t="s">
        <v>57</v>
      </c>
      <c r="BG458" s="31">
        <f>BE458*Q458</f>
        <v>0</v>
      </c>
      <c r="BH458" s="31">
        <f>BE458*R458*0.4</f>
        <v>0</v>
      </c>
      <c r="BI458" s="142"/>
      <c r="BJ458" s="142"/>
      <c r="BK458" s="32">
        <f>Y458*BE458</f>
        <v>0</v>
      </c>
      <c r="BL458" s="35"/>
      <c r="BM458" s="35"/>
      <c r="BN458" s="35"/>
      <c r="BO458" s="35"/>
      <c r="BP458" s="25">
        <f>BE458*AV458</f>
        <v>0</v>
      </c>
      <c r="BQ458" s="25">
        <f>BE458*AX458</f>
        <v>0</v>
      </c>
      <c r="BR458" s="28"/>
      <c r="BS458" s="32"/>
    </row>
    <row r="459" spans="1:71" s="6" customFormat="1" ht="41.25" customHeight="1">
      <c r="A459" s="18">
        <v>456</v>
      </c>
      <c r="B459" s="18" t="s">
        <v>58</v>
      </c>
      <c r="C459" s="33" t="s">
        <v>481</v>
      </c>
      <c r="D459" s="75" t="s">
        <v>482</v>
      </c>
      <c r="E459" s="22" t="s">
        <v>980</v>
      </c>
      <c r="F459" s="75" t="s">
        <v>482</v>
      </c>
      <c r="G459" s="75"/>
      <c r="H459" s="22"/>
      <c r="I459" s="22"/>
      <c r="J459" s="22"/>
      <c r="K459" s="22"/>
      <c r="L459" s="22"/>
      <c r="M459" s="22"/>
      <c r="N459" s="22" t="s">
        <v>985</v>
      </c>
      <c r="O459" s="23"/>
      <c r="P459" s="18" t="s">
        <v>56</v>
      </c>
      <c r="Q459" s="72"/>
      <c r="R459" s="72"/>
      <c r="S459" s="35">
        <v>5</v>
      </c>
      <c r="T459" s="26"/>
      <c r="U459" s="26"/>
      <c r="V459" s="35"/>
      <c r="W459" s="154"/>
      <c r="X459" s="35"/>
      <c r="Y459" s="26">
        <f>T459+R459+Q459+U459+W459</f>
        <v>0</v>
      </c>
      <c r="Z459" s="27">
        <v>5</v>
      </c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>
        <f>SUM(AM459:AS459)</f>
        <v>0</v>
      </c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72">
        <f>Y459-AV459-AX459-AW459</f>
        <v>0</v>
      </c>
      <c r="AZ459" s="68"/>
      <c r="BA459" s="26">
        <f>AL459+AG459+AA459+AT459</f>
        <v>0</v>
      </c>
      <c r="BB459" s="30">
        <f>BD459+AO459+AG459</f>
        <v>0</v>
      </c>
      <c r="BC459" s="30">
        <f>BD459+AS459</f>
        <v>0</v>
      </c>
      <c r="BD459" s="30">
        <f>IF(BA459&gt;0,Y459-BA459,BA459)</f>
        <v>0</v>
      </c>
      <c r="BE459" s="31">
        <v>747.9</v>
      </c>
      <c r="BF459" s="30" t="s">
        <v>57</v>
      </c>
      <c r="BG459" s="31">
        <f>BE459*Q459</f>
        <v>0</v>
      </c>
      <c r="BH459" s="31">
        <f>BE459*R459*0.4</f>
        <v>0</v>
      </c>
      <c r="BI459" s="142"/>
      <c r="BJ459" s="142"/>
      <c r="BK459" s="32">
        <f>Y459*BE459</f>
        <v>0</v>
      </c>
      <c r="BL459" s="35"/>
      <c r="BM459" s="35"/>
      <c r="BN459" s="35"/>
      <c r="BO459" s="35"/>
      <c r="BP459" s="25">
        <f>BE459*AV459</f>
        <v>0</v>
      </c>
      <c r="BQ459" s="25">
        <f>BE459*AX459</f>
        <v>0</v>
      </c>
      <c r="BR459" s="28"/>
      <c r="BS459" s="32"/>
    </row>
    <row r="460" spans="1:71" s="6" customFormat="1" ht="41.25" customHeight="1">
      <c r="A460" s="18">
        <v>457</v>
      </c>
      <c r="B460" s="18" t="s">
        <v>58</v>
      </c>
      <c r="C460" s="33" t="s">
        <v>481</v>
      </c>
      <c r="D460" s="75" t="s">
        <v>482</v>
      </c>
      <c r="E460" s="22" t="s">
        <v>980</v>
      </c>
      <c r="F460" s="75" t="s">
        <v>482</v>
      </c>
      <c r="G460" s="75"/>
      <c r="H460" s="22"/>
      <c r="I460" s="22"/>
      <c r="J460" s="22"/>
      <c r="K460" s="22"/>
      <c r="L460" s="22"/>
      <c r="M460" s="22"/>
      <c r="N460" s="22" t="s">
        <v>986</v>
      </c>
      <c r="O460" s="23"/>
      <c r="P460" s="18" t="s">
        <v>56</v>
      </c>
      <c r="Q460" s="72"/>
      <c r="R460" s="72"/>
      <c r="S460" s="35">
        <v>5</v>
      </c>
      <c r="T460" s="26"/>
      <c r="U460" s="26"/>
      <c r="V460" s="35"/>
      <c r="W460" s="154"/>
      <c r="X460" s="35"/>
      <c r="Y460" s="26">
        <f>T460+R460+Q460+U460+W460</f>
        <v>0</v>
      </c>
      <c r="Z460" s="27">
        <v>5</v>
      </c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>
        <f>SUM(AM460:AS460)</f>
        <v>0</v>
      </c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72">
        <f>Y460-AV460-AX460-AW460</f>
        <v>0</v>
      </c>
      <c r="AZ460" s="68"/>
      <c r="BA460" s="26">
        <f>AL460+AG460+AA460+AT460</f>
        <v>0</v>
      </c>
      <c r="BB460" s="30">
        <f>BD460+AO460+AG460</f>
        <v>0</v>
      </c>
      <c r="BC460" s="30">
        <f>BD460+AS460</f>
        <v>0</v>
      </c>
      <c r="BD460" s="30">
        <f>IF(BA460&gt;0,Y460-BA460,BA460)</f>
        <v>0</v>
      </c>
      <c r="BE460" s="31">
        <v>747.9</v>
      </c>
      <c r="BF460" s="30" t="s">
        <v>57</v>
      </c>
      <c r="BG460" s="31">
        <f>BE460*Q460</f>
        <v>0</v>
      </c>
      <c r="BH460" s="31">
        <f>BE460*R460*0.4</f>
        <v>0</v>
      </c>
      <c r="BI460" s="142"/>
      <c r="BJ460" s="142"/>
      <c r="BK460" s="32">
        <f>Y460*BE460</f>
        <v>0</v>
      </c>
      <c r="BL460" s="35"/>
      <c r="BM460" s="35"/>
      <c r="BN460" s="35"/>
      <c r="BO460" s="35"/>
      <c r="BP460" s="25">
        <f>BE460*AV460</f>
        <v>0</v>
      </c>
      <c r="BQ460" s="25">
        <f>BE460*AX460</f>
        <v>0</v>
      </c>
      <c r="BR460" s="26"/>
      <c r="BS460" s="32"/>
    </row>
    <row r="461" spans="1:71" s="6" customFormat="1" ht="41.25" customHeight="1">
      <c r="A461" s="18">
        <v>458</v>
      </c>
      <c r="B461" s="18" t="s">
        <v>58</v>
      </c>
      <c r="C461" s="33" t="s">
        <v>481</v>
      </c>
      <c r="D461" s="75" t="s">
        <v>482</v>
      </c>
      <c r="E461" s="22" t="s">
        <v>483</v>
      </c>
      <c r="F461" s="75" t="s">
        <v>482</v>
      </c>
      <c r="G461" s="75"/>
      <c r="H461" s="22"/>
      <c r="I461" s="22"/>
      <c r="J461" s="22"/>
      <c r="K461" s="22"/>
      <c r="L461" s="22"/>
      <c r="M461" s="22"/>
      <c r="N461" s="22" t="s">
        <v>987</v>
      </c>
      <c r="O461" s="23"/>
      <c r="P461" s="18" t="s">
        <v>56</v>
      </c>
      <c r="Q461" s="72"/>
      <c r="R461" s="72"/>
      <c r="S461" s="35">
        <v>5</v>
      </c>
      <c r="T461" s="26"/>
      <c r="U461" s="26"/>
      <c r="V461" s="35"/>
      <c r="W461" s="154"/>
      <c r="X461" s="35"/>
      <c r="Y461" s="26">
        <f>T461+R461+Q461+U461+W461</f>
        <v>0</v>
      </c>
      <c r="Z461" s="27">
        <v>5</v>
      </c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>
        <f>SUM(AM461:AS461)</f>
        <v>0</v>
      </c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72">
        <f>Y461-AV461-AX461-AW461</f>
        <v>0</v>
      </c>
      <c r="AZ461" s="68"/>
      <c r="BA461" s="26">
        <f>AL461+AG461+AA461+AT461</f>
        <v>0</v>
      </c>
      <c r="BB461" s="30">
        <f>BD461+AO461+AG461</f>
        <v>0</v>
      </c>
      <c r="BC461" s="30">
        <f>BD461+AS461</f>
        <v>0</v>
      </c>
      <c r="BD461" s="30">
        <f>IF(BA461&gt;0,Y461-BA461,BA461)</f>
        <v>0</v>
      </c>
      <c r="BE461" s="31">
        <v>747.9</v>
      </c>
      <c r="BF461" s="30" t="s">
        <v>57</v>
      </c>
      <c r="BG461" s="31">
        <f>BE461*Q461</f>
        <v>0</v>
      </c>
      <c r="BH461" s="31">
        <f>BE461*R461*0.4</f>
        <v>0</v>
      </c>
      <c r="BI461" s="142"/>
      <c r="BJ461" s="142"/>
      <c r="BK461" s="32">
        <f>Y461*BE461</f>
        <v>0</v>
      </c>
      <c r="BL461" s="35"/>
      <c r="BM461" s="35"/>
      <c r="BN461" s="35"/>
      <c r="BO461" s="35"/>
      <c r="BP461" s="25">
        <f>BE461*AV461</f>
        <v>0</v>
      </c>
      <c r="BQ461" s="25">
        <f>BE461*AX461</f>
        <v>0</v>
      </c>
      <c r="BR461" s="28"/>
      <c r="BS461" s="32"/>
    </row>
    <row r="462" spans="1:71" s="6" customFormat="1" ht="41.25" customHeight="1">
      <c r="A462" s="18">
        <v>459</v>
      </c>
      <c r="B462" s="18" t="s">
        <v>58</v>
      </c>
      <c r="C462" s="33" t="s">
        <v>481</v>
      </c>
      <c r="D462" s="75" t="s">
        <v>482</v>
      </c>
      <c r="E462" s="22" t="s">
        <v>483</v>
      </c>
      <c r="F462" s="75" t="s">
        <v>482</v>
      </c>
      <c r="G462" s="75"/>
      <c r="H462" s="22"/>
      <c r="I462" s="22"/>
      <c r="J462" s="22"/>
      <c r="K462" s="22"/>
      <c r="L462" s="22"/>
      <c r="M462" s="22"/>
      <c r="N462" s="22" t="s">
        <v>988</v>
      </c>
      <c r="O462" s="23"/>
      <c r="P462" s="18" t="s">
        <v>56</v>
      </c>
      <c r="Q462" s="72"/>
      <c r="R462" s="72"/>
      <c r="S462" s="35">
        <v>5</v>
      </c>
      <c r="T462" s="26"/>
      <c r="U462" s="26"/>
      <c r="V462" s="35"/>
      <c r="W462" s="154"/>
      <c r="X462" s="35"/>
      <c r="Y462" s="26">
        <f>T462+R462+Q462+U462+W462</f>
        <v>0</v>
      </c>
      <c r="Z462" s="27">
        <v>5</v>
      </c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>
        <f>SUM(AM462:AS462)</f>
        <v>0</v>
      </c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72">
        <f>Y462-AV462-AX462-AW462</f>
        <v>0</v>
      </c>
      <c r="AZ462" s="68"/>
      <c r="BA462" s="26">
        <f>AL462+AG462+AA462+AT462</f>
        <v>0</v>
      </c>
      <c r="BB462" s="30">
        <f>BD462+AO462+AG462</f>
        <v>0</v>
      </c>
      <c r="BC462" s="30">
        <f>BD462+AS462</f>
        <v>0</v>
      </c>
      <c r="BD462" s="30">
        <f>IF(BA462&gt;0,Y462-BA462,BA462)</f>
        <v>0</v>
      </c>
      <c r="BE462" s="31">
        <v>747.9</v>
      </c>
      <c r="BF462" s="30" t="s">
        <v>57</v>
      </c>
      <c r="BG462" s="31">
        <f>BE462*Q462</f>
        <v>0</v>
      </c>
      <c r="BH462" s="31">
        <f>BE462*R462*0.4</f>
        <v>0</v>
      </c>
      <c r="BI462" s="142"/>
      <c r="BJ462" s="142"/>
      <c r="BK462" s="32">
        <f>Y462*BE462</f>
        <v>0</v>
      </c>
      <c r="BL462" s="35"/>
      <c r="BM462" s="35"/>
      <c r="BN462" s="35"/>
      <c r="BO462" s="35"/>
      <c r="BP462" s="25">
        <f>BE462*AV462</f>
        <v>0</v>
      </c>
      <c r="BQ462" s="25">
        <f>BE462*AX462</f>
        <v>0</v>
      </c>
      <c r="BR462" s="26"/>
      <c r="BS462" s="32"/>
    </row>
    <row r="463" spans="1:71" s="6" customFormat="1" ht="41.25" customHeight="1">
      <c r="A463" s="18">
        <v>460</v>
      </c>
      <c r="B463" s="18" t="s">
        <v>58</v>
      </c>
      <c r="C463" s="33" t="s">
        <v>481</v>
      </c>
      <c r="D463" s="75" t="s">
        <v>482</v>
      </c>
      <c r="E463" s="22" t="s">
        <v>483</v>
      </c>
      <c r="F463" s="75" t="s">
        <v>482</v>
      </c>
      <c r="G463" s="75"/>
      <c r="H463" s="22"/>
      <c r="I463" s="22"/>
      <c r="J463" s="22"/>
      <c r="K463" s="22"/>
      <c r="L463" s="22"/>
      <c r="M463" s="22"/>
      <c r="N463" s="22" t="s">
        <v>989</v>
      </c>
      <c r="O463" s="23"/>
      <c r="P463" s="18" t="s">
        <v>56</v>
      </c>
      <c r="Q463" s="72"/>
      <c r="R463" s="72"/>
      <c r="S463" s="35">
        <v>5</v>
      </c>
      <c r="T463" s="26"/>
      <c r="U463" s="26"/>
      <c r="V463" s="35"/>
      <c r="W463" s="154"/>
      <c r="X463" s="35"/>
      <c r="Y463" s="26">
        <f>T463+R463+Q463+U463+W463</f>
        <v>0</v>
      </c>
      <c r="Z463" s="27">
        <v>5</v>
      </c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>
        <f>SUM(AM463:AS463)</f>
        <v>0</v>
      </c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72">
        <f>Y463-AV463-AX463-AW463</f>
        <v>0</v>
      </c>
      <c r="AZ463" s="68"/>
      <c r="BA463" s="26">
        <f>AL463+AG463+AA463+AT463</f>
        <v>0</v>
      </c>
      <c r="BB463" s="30">
        <f>BD463+AO463+AG463</f>
        <v>0</v>
      </c>
      <c r="BC463" s="30">
        <f>BD463+AS463</f>
        <v>0</v>
      </c>
      <c r="BD463" s="30">
        <f>IF(BA463&gt;0,Y463-BA463,BA463)</f>
        <v>0</v>
      </c>
      <c r="BE463" s="31">
        <v>747.9</v>
      </c>
      <c r="BF463" s="30" t="s">
        <v>57</v>
      </c>
      <c r="BG463" s="31">
        <f>BE463*Q463</f>
        <v>0</v>
      </c>
      <c r="BH463" s="31">
        <f>BE463*R463*0.4</f>
        <v>0</v>
      </c>
      <c r="BI463" s="142"/>
      <c r="BJ463" s="142"/>
      <c r="BK463" s="32">
        <f>Y463*BE463</f>
        <v>0</v>
      </c>
      <c r="BL463" s="35"/>
      <c r="BM463" s="35"/>
      <c r="BN463" s="35"/>
      <c r="BO463" s="35"/>
      <c r="BP463" s="25">
        <f>BE463*AV463</f>
        <v>0</v>
      </c>
      <c r="BQ463" s="25">
        <f>BE463*AX463</f>
        <v>0</v>
      </c>
      <c r="BR463" s="28"/>
      <c r="BS463" s="32"/>
    </row>
    <row r="464" spans="1:71" s="6" customFormat="1" ht="41.25" customHeight="1">
      <c r="A464" s="18">
        <v>461</v>
      </c>
      <c r="B464" s="18" t="s">
        <v>58</v>
      </c>
      <c r="C464" s="33" t="s">
        <v>481</v>
      </c>
      <c r="D464" s="75" t="s">
        <v>482</v>
      </c>
      <c r="E464" s="22" t="s">
        <v>483</v>
      </c>
      <c r="F464" s="75" t="s">
        <v>482</v>
      </c>
      <c r="G464" s="75"/>
      <c r="H464" s="22"/>
      <c r="I464" s="22"/>
      <c r="J464" s="22"/>
      <c r="K464" s="22"/>
      <c r="L464" s="22"/>
      <c r="M464" s="22"/>
      <c r="N464" s="22" t="s">
        <v>990</v>
      </c>
      <c r="O464" s="23"/>
      <c r="P464" s="18" t="s">
        <v>56</v>
      </c>
      <c r="Q464" s="29">
        <v>5</v>
      </c>
      <c r="R464" s="72"/>
      <c r="S464" s="35">
        <v>5</v>
      </c>
      <c r="T464" s="26"/>
      <c r="U464" s="26"/>
      <c r="V464" s="35"/>
      <c r="W464" s="154"/>
      <c r="X464" s="35"/>
      <c r="Y464" s="53">
        <f>T464+R464+Q464+U464+W464</f>
        <v>5</v>
      </c>
      <c r="Z464" s="27">
        <v>5</v>
      </c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>
        <f>SUM(AM464:AS464)</f>
        <v>0</v>
      </c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9">
        <f>Y464-AV464-AX464-AW464</f>
        <v>5</v>
      </c>
      <c r="AZ464" s="29"/>
      <c r="BA464" s="26">
        <f>AL464+AG464+AA464+AT464</f>
        <v>0</v>
      </c>
      <c r="BB464" s="30">
        <f>BD464+AO464+AG464</f>
        <v>0</v>
      </c>
      <c r="BC464" s="30">
        <f>BD464+AS464</f>
        <v>0</v>
      </c>
      <c r="BD464" s="30">
        <f>IF(BA464&gt;0,Y464-BA464,BA464)</f>
        <v>0</v>
      </c>
      <c r="BE464" s="31">
        <v>747.9</v>
      </c>
      <c r="BF464" s="30" t="s">
        <v>57</v>
      </c>
      <c r="BG464" s="31">
        <f>BE464*Q464</f>
        <v>3739.5</v>
      </c>
      <c r="BH464" s="31">
        <f>BE464*R464*0.4</f>
        <v>0</v>
      </c>
      <c r="BI464" s="142"/>
      <c r="BJ464" s="142"/>
      <c r="BK464" s="32">
        <f>Y464*BE464</f>
        <v>3739.5</v>
      </c>
      <c r="BL464" s="35"/>
      <c r="BM464" s="35"/>
      <c r="BN464" s="35"/>
      <c r="BO464" s="35"/>
      <c r="BP464" s="25">
        <f>BE464*AV464</f>
        <v>0</v>
      </c>
      <c r="BQ464" s="25">
        <f>BE464*AX464</f>
        <v>0</v>
      </c>
      <c r="BR464" s="28"/>
      <c r="BS464" s="32"/>
    </row>
    <row r="465" spans="1:71" s="6" customFormat="1" ht="41.25" customHeight="1">
      <c r="A465" s="18">
        <v>462</v>
      </c>
      <c r="B465" s="18" t="s">
        <v>58</v>
      </c>
      <c r="C465" s="33" t="s">
        <v>481</v>
      </c>
      <c r="D465" s="75" t="s">
        <v>482</v>
      </c>
      <c r="E465" s="22" t="s">
        <v>483</v>
      </c>
      <c r="F465" s="75" t="s">
        <v>482</v>
      </c>
      <c r="G465" s="75"/>
      <c r="H465" s="22"/>
      <c r="I465" s="22"/>
      <c r="J465" s="22"/>
      <c r="K465" s="22"/>
      <c r="L465" s="22"/>
      <c r="M465" s="22"/>
      <c r="N465" s="22" t="s">
        <v>991</v>
      </c>
      <c r="O465" s="23"/>
      <c r="P465" s="18" t="s">
        <v>56</v>
      </c>
      <c r="Q465" s="72"/>
      <c r="R465" s="72"/>
      <c r="S465" s="35">
        <v>5</v>
      </c>
      <c r="T465" s="26"/>
      <c r="U465" s="26"/>
      <c r="V465" s="35"/>
      <c r="W465" s="154"/>
      <c r="X465" s="35"/>
      <c r="Y465" s="26">
        <f>T465+R465+Q465+U465+W465</f>
        <v>0</v>
      </c>
      <c r="Z465" s="27">
        <v>5</v>
      </c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>
        <f>SUM(AM465:AS465)</f>
        <v>0</v>
      </c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72">
        <f>Y465-AV465-AX465-AW465</f>
        <v>0</v>
      </c>
      <c r="AZ465" s="68"/>
      <c r="BA465" s="26">
        <f>AL465+AG465+AA465+AT465</f>
        <v>0</v>
      </c>
      <c r="BB465" s="30">
        <f>BD465+AO465+AG465</f>
        <v>0</v>
      </c>
      <c r="BC465" s="30">
        <f>BD465+AS465</f>
        <v>0</v>
      </c>
      <c r="BD465" s="30">
        <f>IF(BA465&gt;0,Y465-BA465,BA465)</f>
        <v>0</v>
      </c>
      <c r="BE465" s="31">
        <v>747.9</v>
      </c>
      <c r="BF465" s="30" t="s">
        <v>57</v>
      </c>
      <c r="BG465" s="31">
        <f>BE465*Q465</f>
        <v>0</v>
      </c>
      <c r="BH465" s="31">
        <f>BE465*R465*0.4</f>
        <v>0</v>
      </c>
      <c r="BI465" s="142"/>
      <c r="BJ465" s="142"/>
      <c r="BK465" s="32">
        <f>Y465*BE465</f>
        <v>0</v>
      </c>
      <c r="BL465" s="35"/>
      <c r="BM465" s="35"/>
      <c r="BN465" s="35"/>
      <c r="BO465" s="35"/>
      <c r="BP465" s="25">
        <f>BE465*AV465</f>
        <v>0</v>
      </c>
      <c r="BQ465" s="25">
        <f>BE465*AX465</f>
        <v>0</v>
      </c>
      <c r="BR465" s="28"/>
      <c r="BS465" s="32"/>
    </row>
    <row r="466" spans="1:71" s="6" customFormat="1" ht="41.25" customHeight="1">
      <c r="A466" s="18">
        <v>463</v>
      </c>
      <c r="B466" s="18" t="s">
        <v>58</v>
      </c>
      <c r="C466" s="33" t="s">
        <v>481</v>
      </c>
      <c r="D466" s="75" t="s">
        <v>482</v>
      </c>
      <c r="E466" s="22" t="s">
        <v>992</v>
      </c>
      <c r="F466" s="75" t="s">
        <v>482</v>
      </c>
      <c r="G466" s="75"/>
      <c r="H466" s="22"/>
      <c r="I466" s="22"/>
      <c r="J466" s="22"/>
      <c r="K466" s="22"/>
      <c r="L466" s="22"/>
      <c r="M466" s="22"/>
      <c r="N466" s="22" t="s">
        <v>993</v>
      </c>
      <c r="O466" s="23"/>
      <c r="P466" s="18" t="s">
        <v>56</v>
      </c>
      <c r="Q466" s="72"/>
      <c r="R466" s="72"/>
      <c r="S466" s="35">
        <v>5</v>
      </c>
      <c r="T466" s="26"/>
      <c r="U466" s="26"/>
      <c r="V466" s="35"/>
      <c r="W466" s="154"/>
      <c r="X466" s="35"/>
      <c r="Y466" s="26">
        <f>T466+R466+Q466+U466+W466</f>
        <v>0</v>
      </c>
      <c r="Z466" s="27">
        <v>5</v>
      </c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>
        <f>SUM(AM466:AS466)</f>
        <v>0</v>
      </c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72">
        <f>Y466-AV466-AX466-AW466</f>
        <v>0</v>
      </c>
      <c r="AZ466" s="68"/>
      <c r="BA466" s="26">
        <f>AL466+AG466+AA466+AT466</f>
        <v>0</v>
      </c>
      <c r="BB466" s="30">
        <f>BD466+AO466+AG466</f>
        <v>0</v>
      </c>
      <c r="BC466" s="30">
        <f>BD466+AS466</f>
        <v>0</v>
      </c>
      <c r="BD466" s="30">
        <f>IF(BA466&gt;0,Y466-BA466,BA466)</f>
        <v>0</v>
      </c>
      <c r="BE466" s="31">
        <v>747.9</v>
      </c>
      <c r="BF466" s="30" t="s">
        <v>57</v>
      </c>
      <c r="BG466" s="31">
        <f>BE466*Q466</f>
        <v>0</v>
      </c>
      <c r="BH466" s="31">
        <f>BE466*R466*0.4</f>
        <v>0</v>
      </c>
      <c r="BI466" s="142"/>
      <c r="BJ466" s="142"/>
      <c r="BK466" s="32">
        <f>Y466*BE466</f>
        <v>0</v>
      </c>
      <c r="BL466" s="35"/>
      <c r="BM466" s="35"/>
      <c r="BN466" s="35"/>
      <c r="BO466" s="35"/>
      <c r="BP466" s="25">
        <f>BE466*AV466</f>
        <v>0</v>
      </c>
      <c r="BQ466" s="25">
        <f>BE466*AX466</f>
        <v>0</v>
      </c>
      <c r="BR466" s="26"/>
      <c r="BS466" s="32"/>
    </row>
    <row r="467" spans="1:71" s="6" customFormat="1" ht="41.25" customHeight="1">
      <c r="A467" s="18">
        <v>464</v>
      </c>
      <c r="B467" s="18" t="s">
        <v>58</v>
      </c>
      <c r="C467" s="33" t="s">
        <v>481</v>
      </c>
      <c r="D467" s="75" t="s">
        <v>482</v>
      </c>
      <c r="E467" s="22" t="s">
        <v>992</v>
      </c>
      <c r="F467" s="75" t="s">
        <v>482</v>
      </c>
      <c r="G467" s="75"/>
      <c r="H467" s="22"/>
      <c r="I467" s="22"/>
      <c r="J467" s="22"/>
      <c r="K467" s="22"/>
      <c r="L467" s="22"/>
      <c r="M467" s="22"/>
      <c r="N467" s="22" t="s">
        <v>994</v>
      </c>
      <c r="O467" s="23"/>
      <c r="P467" s="18" t="s">
        <v>56</v>
      </c>
      <c r="Q467" s="72"/>
      <c r="R467" s="72"/>
      <c r="S467" s="35">
        <v>5</v>
      </c>
      <c r="T467" s="26"/>
      <c r="U467" s="26"/>
      <c r="V467" s="35"/>
      <c r="W467" s="154"/>
      <c r="X467" s="35"/>
      <c r="Y467" s="26">
        <f>T467+R467+Q467+U467+W467</f>
        <v>0</v>
      </c>
      <c r="Z467" s="27">
        <v>5</v>
      </c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>
        <f>SUM(AM467:AS467)</f>
        <v>0</v>
      </c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72">
        <f>Y467-AV467-AX467-AW467</f>
        <v>0</v>
      </c>
      <c r="AZ467" s="68"/>
      <c r="BA467" s="26">
        <f>AL467+AG467+AA467+AT467</f>
        <v>0</v>
      </c>
      <c r="BB467" s="30">
        <f>BD467+AO467+AG467</f>
        <v>0</v>
      </c>
      <c r="BC467" s="30">
        <f>BD467+AS467</f>
        <v>0</v>
      </c>
      <c r="BD467" s="30">
        <f>IF(BA467&gt;0,Y467-BA467,BA467)</f>
        <v>0</v>
      </c>
      <c r="BE467" s="31">
        <v>747.9</v>
      </c>
      <c r="BF467" s="30" t="s">
        <v>57</v>
      </c>
      <c r="BG467" s="31">
        <f>BE467*Q467</f>
        <v>0</v>
      </c>
      <c r="BH467" s="31">
        <f>BE467*R467*0.4</f>
        <v>0</v>
      </c>
      <c r="BI467" s="142"/>
      <c r="BJ467" s="142"/>
      <c r="BK467" s="32">
        <f>Y467*BE467</f>
        <v>0</v>
      </c>
      <c r="BL467" s="35"/>
      <c r="BM467" s="35"/>
      <c r="BN467" s="35"/>
      <c r="BO467" s="35"/>
      <c r="BP467" s="25">
        <f>BE467*AV467</f>
        <v>0</v>
      </c>
      <c r="BQ467" s="25">
        <f>BE467*AX467</f>
        <v>0</v>
      </c>
      <c r="BR467" s="28"/>
      <c r="BS467" s="32"/>
    </row>
    <row r="468" spans="1:71" s="6" customFormat="1" ht="41.25" customHeight="1">
      <c r="A468" s="18">
        <v>465</v>
      </c>
      <c r="B468" s="18" t="s">
        <v>58</v>
      </c>
      <c r="C468" s="33" t="s">
        <v>481</v>
      </c>
      <c r="D468" s="75" t="s">
        <v>482</v>
      </c>
      <c r="E468" s="22" t="s">
        <v>992</v>
      </c>
      <c r="F468" s="75" t="s">
        <v>482</v>
      </c>
      <c r="G468" s="75"/>
      <c r="H468" s="22"/>
      <c r="I468" s="22"/>
      <c r="J468" s="22"/>
      <c r="K468" s="22"/>
      <c r="L468" s="22"/>
      <c r="M468" s="22"/>
      <c r="N468" s="22" t="s">
        <v>995</v>
      </c>
      <c r="O468" s="23"/>
      <c r="P468" s="18" t="s">
        <v>56</v>
      </c>
      <c r="Q468" s="29">
        <v>5</v>
      </c>
      <c r="R468" s="72"/>
      <c r="S468" s="35">
        <v>5</v>
      </c>
      <c r="T468" s="26"/>
      <c r="U468" s="26"/>
      <c r="V468" s="35"/>
      <c r="W468" s="154"/>
      <c r="X468" s="35"/>
      <c r="Y468" s="53">
        <f>T468+R468+Q468+U468+W468</f>
        <v>5</v>
      </c>
      <c r="Z468" s="27">
        <v>5</v>
      </c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>
        <f>SUM(AM468:AS468)</f>
        <v>0</v>
      </c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9">
        <f>Y468-AV468-AX468-AW468</f>
        <v>5</v>
      </c>
      <c r="AZ468" s="29"/>
      <c r="BA468" s="26">
        <f>AL468+AG468+AA468+AT468</f>
        <v>0</v>
      </c>
      <c r="BB468" s="30">
        <f>BD468+AO468+AG468</f>
        <v>0</v>
      </c>
      <c r="BC468" s="30">
        <f>BD468+AS468</f>
        <v>0</v>
      </c>
      <c r="BD468" s="30">
        <f>IF(BA468&gt;0,Y468-BA468,BA468)</f>
        <v>0</v>
      </c>
      <c r="BE468" s="31">
        <v>747.9</v>
      </c>
      <c r="BF468" s="30" t="s">
        <v>57</v>
      </c>
      <c r="BG468" s="31">
        <f>BE468*Q468</f>
        <v>3739.5</v>
      </c>
      <c r="BH468" s="31">
        <f>BE468*R468*0.4</f>
        <v>0</v>
      </c>
      <c r="BI468" s="142"/>
      <c r="BJ468" s="142"/>
      <c r="BK468" s="32">
        <f>Y468*BE468</f>
        <v>3739.5</v>
      </c>
      <c r="BL468" s="35"/>
      <c r="BM468" s="35"/>
      <c r="BN468" s="35"/>
      <c r="BO468" s="35"/>
      <c r="BP468" s="25">
        <f>BE468*AV468</f>
        <v>0</v>
      </c>
      <c r="BQ468" s="25">
        <f>BE468*AX468</f>
        <v>0</v>
      </c>
      <c r="BR468" s="26"/>
      <c r="BS468" s="32"/>
    </row>
    <row r="469" spans="1:71" s="6" customFormat="1" ht="41.25" customHeight="1">
      <c r="A469" s="18">
        <v>466</v>
      </c>
      <c r="B469" s="18" t="s">
        <v>58</v>
      </c>
      <c r="C469" s="33" t="s">
        <v>481</v>
      </c>
      <c r="D469" s="75" t="s">
        <v>482</v>
      </c>
      <c r="E469" s="22" t="s">
        <v>992</v>
      </c>
      <c r="F469" s="75" t="s">
        <v>482</v>
      </c>
      <c r="G469" s="75"/>
      <c r="H469" s="22"/>
      <c r="I469" s="22"/>
      <c r="J469" s="22"/>
      <c r="K469" s="22"/>
      <c r="L469" s="22"/>
      <c r="M469" s="22"/>
      <c r="N469" s="22" t="s">
        <v>996</v>
      </c>
      <c r="O469" s="23"/>
      <c r="P469" s="18" t="s">
        <v>56</v>
      </c>
      <c r="Q469" s="29">
        <v>5</v>
      </c>
      <c r="R469" s="72"/>
      <c r="S469" s="35">
        <v>5</v>
      </c>
      <c r="T469" s="26"/>
      <c r="U469" s="26"/>
      <c r="V469" s="35"/>
      <c r="W469" s="154"/>
      <c r="X469" s="35"/>
      <c r="Y469" s="53">
        <f>T469+R469+Q469+U469+W469</f>
        <v>5</v>
      </c>
      <c r="Z469" s="27">
        <v>5</v>
      </c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>
        <f>SUM(AM469:AS469)</f>
        <v>0</v>
      </c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9">
        <f>Y469-AV469-AX469-AW469</f>
        <v>5</v>
      </c>
      <c r="AZ469" s="29"/>
      <c r="BA469" s="26">
        <f>AL469+AG469+AA469+AT469</f>
        <v>0</v>
      </c>
      <c r="BB469" s="30">
        <f>BD469+AO469+AG469</f>
        <v>0</v>
      </c>
      <c r="BC469" s="30">
        <f>BD469+AS469</f>
        <v>0</v>
      </c>
      <c r="BD469" s="30">
        <f>IF(BA469&gt;0,Y469-BA469,BA469)</f>
        <v>0</v>
      </c>
      <c r="BE469" s="31">
        <v>747.9</v>
      </c>
      <c r="BF469" s="30" t="s">
        <v>57</v>
      </c>
      <c r="BG469" s="31">
        <f>BE469*Q469</f>
        <v>3739.5</v>
      </c>
      <c r="BH469" s="31">
        <f>BE469*R469*0.4</f>
        <v>0</v>
      </c>
      <c r="BI469" s="142"/>
      <c r="BJ469" s="142"/>
      <c r="BK469" s="32">
        <f>Y469*BE469</f>
        <v>3739.5</v>
      </c>
      <c r="BL469" s="35"/>
      <c r="BM469" s="35"/>
      <c r="BN469" s="35"/>
      <c r="BO469" s="35"/>
      <c r="BP469" s="25">
        <f>BE469*AV469</f>
        <v>0</v>
      </c>
      <c r="BQ469" s="25">
        <f>BE469*AX469</f>
        <v>0</v>
      </c>
      <c r="BR469" s="28"/>
      <c r="BS469" s="32"/>
    </row>
    <row r="470" spans="1:71" s="6" customFormat="1" ht="41.25" customHeight="1">
      <c r="A470" s="18">
        <v>467</v>
      </c>
      <c r="B470" s="18" t="s">
        <v>58</v>
      </c>
      <c r="C470" s="33" t="s">
        <v>481</v>
      </c>
      <c r="D470" s="75" t="s">
        <v>482</v>
      </c>
      <c r="E470" s="22" t="s">
        <v>992</v>
      </c>
      <c r="F470" s="75" t="s">
        <v>482</v>
      </c>
      <c r="G470" s="75"/>
      <c r="H470" s="22"/>
      <c r="I470" s="22"/>
      <c r="J470" s="22"/>
      <c r="K470" s="22"/>
      <c r="L470" s="22"/>
      <c r="M470" s="22"/>
      <c r="N470" s="22" t="s">
        <v>997</v>
      </c>
      <c r="O470" s="23"/>
      <c r="P470" s="18" t="s">
        <v>56</v>
      </c>
      <c r="Q470" s="29">
        <v>80</v>
      </c>
      <c r="R470" s="72"/>
      <c r="S470" s="35">
        <v>5</v>
      </c>
      <c r="T470" s="26"/>
      <c r="U470" s="26"/>
      <c r="V470" s="35"/>
      <c r="W470" s="154"/>
      <c r="X470" s="35"/>
      <c r="Y470" s="53">
        <f>T470+R470+Q470+U470+W470</f>
        <v>80</v>
      </c>
      <c r="Z470" s="27">
        <v>5</v>
      </c>
      <c r="AA470" s="26"/>
      <c r="AB470" s="26"/>
      <c r="AC470" s="26"/>
      <c r="AD470" s="26"/>
      <c r="AE470" s="26"/>
      <c r="AF470" s="26"/>
      <c r="AG470" s="57">
        <f>SUBTOTAL(9,AH470:AK470)</f>
        <v>80</v>
      </c>
      <c r="AH470" s="26"/>
      <c r="AI470" s="26"/>
      <c r="AJ470" s="57">
        <v>80</v>
      </c>
      <c r="AK470" s="26"/>
      <c r="AL470" s="26">
        <f>SUM(AM470:AS470)</f>
        <v>0</v>
      </c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9">
        <f>Y470-AV470-AX470-AW470</f>
        <v>80</v>
      </c>
      <c r="AZ470" s="29">
        <f ca="1">'Layout for shadhous 1&amp;2'!I68</f>
        <v>80</v>
      </c>
      <c r="BA470" s="26">
        <f>AL470+AG470+AA470+AT470</f>
        <v>80</v>
      </c>
      <c r="BB470" s="30">
        <f>BD470+AO470+AG470</f>
        <v>80</v>
      </c>
      <c r="BC470" s="30">
        <f>BD470+AS470</f>
        <v>0</v>
      </c>
      <c r="BD470" s="30">
        <f>IF(BA470&gt;0,Y470-BA470,BA470)</f>
        <v>0</v>
      </c>
      <c r="BE470" s="31">
        <v>747.9</v>
      </c>
      <c r="BF470" s="30" t="s">
        <v>57</v>
      </c>
      <c r="BG470" s="31">
        <f>BE470*Q470</f>
        <v>59832</v>
      </c>
      <c r="BH470" s="31">
        <f>BE470*R470*0.4</f>
        <v>0</v>
      </c>
      <c r="BI470" s="142"/>
      <c r="BJ470" s="142"/>
      <c r="BK470" s="32">
        <f>Y470*BE470</f>
        <v>59832</v>
      </c>
      <c r="BL470" s="35"/>
      <c r="BM470" s="35"/>
      <c r="BN470" s="35"/>
      <c r="BO470" s="35"/>
      <c r="BP470" s="25">
        <f>BE470*AV470</f>
        <v>0</v>
      </c>
      <c r="BQ470" s="25">
        <f>BE470*AX470</f>
        <v>0</v>
      </c>
      <c r="BR470" s="28"/>
      <c r="BS470" s="32"/>
    </row>
    <row r="471" spans="1:71" s="6" customFormat="1" ht="41.25" customHeight="1">
      <c r="A471" s="18">
        <v>468</v>
      </c>
      <c r="B471" s="18" t="s">
        <v>58</v>
      </c>
      <c r="C471" s="33" t="s">
        <v>481</v>
      </c>
      <c r="D471" s="75" t="s">
        <v>482</v>
      </c>
      <c r="E471" s="22" t="s">
        <v>992</v>
      </c>
      <c r="F471" s="75" t="s">
        <v>482</v>
      </c>
      <c r="G471" s="75"/>
      <c r="H471" s="22"/>
      <c r="I471" s="22"/>
      <c r="J471" s="22"/>
      <c r="K471" s="22"/>
      <c r="L471" s="22"/>
      <c r="M471" s="22"/>
      <c r="N471" s="22" t="s">
        <v>998</v>
      </c>
      <c r="O471" s="23"/>
      <c r="P471" s="18" t="s">
        <v>56</v>
      </c>
      <c r="Q471" s="72"/>
      <c r="R471" s="72"/>
      <c r="S471" s="35">
        <v>5</v>
      </c>
      <c r="T471" s="26"/>
      <c r="U471" s="26"/>
      <c r="V471" s="35"/>
      <c r="W471" s="154"/>
      <c r="X471" s="35"/>
      <c r="Y471" s="26">
        <f>T471+R471+Q471+U471+W471</f>
        <v>0</v>
      </c>
      <c r="Z471" s="27">
        <v>5</v>
      </c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>
        <f>SUM(AM471:AS471)</f>
        <v>0</v>
      </c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72">
        <f>Y471-AV471-AX471-AW471</f>
        <v>0</v>
      </c>
      <c r="AZ471" s="68"/>
      <c r="BA471" s="26">
        <f>AL471+AG471+AA471+AT471</f>
        <v>0</v>
      </c>
      <c r="BB471" s="30">
        <f>BD471+AO471+AG471</f>
        <v>0</v>
      </c>
      <c r="BC471" s="30">
        <f>BD471+AS471</f>
        <v>0</v>
      </c>
      <c r="BD471" s="30">
        <f>IF(BA471&gt;0,Y471-BA471,BA471)</f>
        <v>0</v>
      </c>
      <c r="BE471" s="31">
        <v>747.9</v>
      </c>
      <c r="BF471" s="30" t="s">
        <v>57</v>
      </c>
      <c r="BG471" s="31">
        <f>BE471*Q471</f>
        <v>0</v>
      </c>
      <c r="BH471" s="31">
        <f>BE471*R471*0.4</f>
        <v>0</v>
      </c>
      <c r="BI471" s="142"/>
      <c r="BJ471" s="142"/>
      <c r="BK471" s="32">
        <f>Y471*BE471</f>
        <v>0</v>
      </c>
      <c r="BL471" s="35"/>
      <c r="BM471" s="35"/>
      <c r="BN471" s="35"/>
      <c r="BO471" s="35"/>
      <c r="BP471" s="25">
        <f>BE471*AV471</f>
        <v>0</v>
      </c>
      <c r="BQ471" s="25">
        <f>BE471*AX471</f>
        <v>0</v>
      </c>
      <c r="BR471" s="28"/>
      <c r="BS471" s="32"/>
    </row>
    <row r="472" spans="1:71" s="6" customFormat="1" ht="41.25" customHeight="1">
      <c r="A472" s="18">
        <v>469</v>
      </c>
      <c r="B472" s="18" t="s">
        <v>58</v>
      </c>
      <c r="C472" s="33" t="s">
        <v>481</v>
      </c>
      <c r="D472" s="75" t="s">
        <v>482</v>
      </c>
      <c r="E472" s="22" t="s">
        <v>999</v>
      </c>
      <c r="F472" s="75" t="s">
        <v>482</v>
      </c>
      <c r="G472" s="75"/>
      <c r="H472" s="22"/>
      <c r="I472" s="22"/>
      <c r="J472" s="22"/>
      <c r="K472" s="22"/>
      <c r="L472" s="22"/>
      <c r="M472" s="22"/>
      <c r="N472" s="22" t="s">
        <v>1000</v>
      </c>
      <c r="O472" s="23"/>
      <c r="P472" s="18" t="s">
        <v>56</v>
      </c>
      <c r="Q472" s="72"/>
      <c r="R472" s="72"/>
      <c r="S472" s="35">
        <v>5</v>
      </c>
      <c r="T472" s="26"/>
      <c r="U472" s="26"/>
      <c r="V472" s="35"/>
      <c r="W472" s="154"/>
      <c r="X472" s="35"/>
      <c r="Y472" s="26">
        <f>T472+R472+Q472+U472+W472</f>
        <v>0</v>
      </c>
      <c r="Z472" s="27">
        <v>5</v>
      </c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>
        <f>SUM(AM472:AS472)</f>
        <v>0</v>
      </c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72">
        <f>Y472-AV472-AX472-AW472</f>
        <v>0</v>
      </c>
      <c r="AZ472" s="68"/>
      <c r="BA472" s="26">
        <f>AL472+AG472+AA472+AT472</f>
        <v>0</v>
      </c>
      <c r="BB472" s="30">
        <f>BD472+AO472+AG472</f>
        <v>0</v>
      </c>
      <c r="BC472" s="30">
        <f>BD472+AS472</f>
        <v>0</v>
      </c>
      <c r="BD472" s="30">
        <f>IF(BA472&gt;0,Y472-BA472,BA472)</f>
        <v>0</v>
      </c>
      <c r="BE472" s="31">
        <v>747.9</v>
      </c>
      <c r="BF472" s="30" t="s">
        <v>57</v>
      </c>
      <c r="BG472" s="31">
        <f>BE472*Q472</f>
        <v>0</v>
      </c>
      <c r="BH472" s="31">
        <f>BE472*R472*0.4</f>
        <v>0</v>
      </c>
      <c r="BI472" s="142"/>
      <c r="BJ472" s="142"/>
      <c r="BK472" s="32">
        <f>Y472*BE472</f>
        <v>0</v>
      </c>
      <c r="BL472" s="35"/>
      <c r="BM472" s="35"/>
      <c r="BN472" s="35"/>
      <c r="BO472" s="35"/>
      <c r="BP472" s="25">
        <f>BE472*AV472</f>
        <v>0</v>
      </c>
      <c r="BQ472" s="25">
        <f>BE472*AX472</f>
        <v>0</v>
      </c>
      <c r="BR472" s="28"/>
      <c r="BS472" s="32"/>
    </row>
    <row r="473" spans="1:71" s="6" customFormat="1" ht="41.25" customHeight="1">
      <c r="A473" s="18">
        <v>470</v>
      </c>
      <c r="B473" s="18" t="s">
        <v>58</v>
      </c>
      <c r="C473" s="33" t="s">
        <v>481</v>
      </c>
      <c r="D473" s="75" t="s">
        <v>482</v>
      </c>
      <c r="E473" s="22" t="s">
        <v>999</v>
      </c>
      <c r="F473" s="75" t="s">
        <v>482</v>
      </c>
      <c r="G473" s="75"/>
      <c r="H473" s="22"/>
      <c r="I473" s="22"/>
      <c r="J473" s="22"/>
      <c r="K473" s="22"/>
      <c r="L473" s="22"/>
      <c r="M473" s="22"/>
      <c r="N473" s="22" t="s">
        <v>1001</v>
      </c>
      <c r="O473" s="23"/>
      <c r="P473" s="18" t="s">
        <v>56</v>
      </c>
      <c r="Q473" s="72"/>
      <c r="R473" s="72"/>
      <c r="S473" s="35">
        <v>5</v>
      </c>
      <c r="T473" s="26"/>
      <c r="U473" s="26"/>
      <c r="V473" s="35"/>
      <c r="W473" s="154"/>
      <c r="X473" s="35"/>
      <c r="Y473" s="26">
        <f>T473+R473+Q473+U473+W473</f>
        <v>0</v>
      </c>
      <c r="Z473" s="27">
        <v>5</v>
      </c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>
        <f>SUM(AM473:AS473)</f>
        <v>0</v>
      </c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72">
        <f>Y473-AV473-AX473-AW473</f>
        <v>0</v>
      </c>
      <c r="AZ473" s="68"/>
      <c r="BA473" s="26">
        <f>AL473+AG473+AA473+AT473</f>
        <v>0</v>
      </c>
      <c r="BB473" s="30">
        <f>BD473+AO473+AG473</f>
        <v>0</v>
      </c>
      <c r="BC473" s="30">
        <f>BD473+AS473</f>
        <v>0</v>
      </c>
      <c r="BD473" s="30">
        <f>IF(BA473&gt;0,Y473-BA473,BA473)</f>
        <v>0</v>
      </c>
      <c r="BE473" s="31">
        <v>747.9</v>
      </c>
      <c r="BF473" s="30" t="s">
        <v>57</v>
      </c>
      <c r="BG473" s="31">
        <f>BE473*Q473</f>
        <v>0</v>
      </c>
      <c r="BH473" s="31">
        <f>BE473*R473*0.4</f>
        <v>0</v>
      </c>
      <c r="BI473" s="142"/>
      <c r="BJ473" s="142"/>
      <c r="BK473" s="32">
        <f>Y473*BE473</f>
        <v>0</v>
      </c>
      <c r="BL473" s="35"/>
      <c r="BM473" s="35"/>
      <c r="BN473" s="35"/>
      <c r="BO473" s="35"/>
      <c r="BP473" s="25">
        <f>BE473*AV473</f>
        <v>0</v>
      </c>
      <c r="BQ473" s="25">
        <f>BE473*AX473</f>
        <v>0</v>
      </c>
      <c r="BR473" s="26"/>
      <c r="BS473" s="32"/>
    </row>
    <row r="474" spans="1:71" s="6" customFormat="1" ht="41.25" customHeight="1">
      <c r="A474" s="18">
        <v>471</v>
      </c>
      <c r="B474" s="18" t="s">
        <v>58</v>
      </c>
      <c r="C474" s="33" t="s">
        <v>481</v>
      </c>
      <c r="D474" s="75" t="s">
        <v>482</v>
      </c>
      <c r="E474" s="22" t="s">
        <v>999</v>
      </c>
      <c r="F474" s="75" t="s">
        <v>482</v>
      </c>
      <c r="G474" s="75"/>
      <c r="H474" s="22"/>
      <c r="I474" s="22"/>
      <c r="J474" s="22"/>
      <c r="K474" s="22"/>
      <c r="L474" s="22"/>
      <c r="M474" s="22"/>
      <c r="N474" s="22" t="s">
        <v>1002</v>
      </c>
      <c r="O474" s="23"/>
      <c r="P474" s="18" t="s">
        <v>56</v>
      </c>
      <c r="Q474" s="72"/>
      <c r="R474" s="72"/>
      <c r="S474" s="35">
        <v>5</v>
      </c>
      <c r="T474" s="26"/>
      <c r="U474" s="26"/>
      <c r="V474" s="35"/>
      <c r="W474" s="154"/>
      <c r="X474" s="35"/>
      <c r="Y474" s="26">
        <f>T474+R474+Q474+U474+W474</f>
        <v>0</v>
      </c>
      <c r="Z474" s="27">
        <v>5</v>
      </c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>
        <f>SUM(AM474:AS474)</f>
        <v>0</v>
      </c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72">
        <f>Y474-AV474-AX474-AW474</f>
        <v>0</v>
      </c>
      <c r="AZ474" s="68"/>
      <c r="BA474" s="26">
        <f>AL474+AG474+AA474+AT474</f>
        <v>0</v>
      </c>
      <c r="BB474" s="30">
        <f>BD474+AO474+AG474</f>
        <v>0</v>
      </c>
      <c r="BC474" s="30">
        <f>BD474+AS474</f>
        <v>0</v>
      </c>
      <c r="BD474" s="30">
        <f>IF(BA474&gt;0,Y474-BA474,BA474)</f>
        <v>0</v>
      </c>
      <c r="BE474" s="31">
        <v>747.9</v>
      </c>
      <c r="BF474" s="30" t="s">
        <v>57</v>
      </c>
      <c r="BG474" s="31">
        <f>BE474*Q474</f>
        <v>0</v>
      </c>
      <c r="BH474" s="31">
        <f>BE474*R474*0.4</f>
        <v>0</v>
      </c>
      <c r="BI474" s="142"/>
      <c r="BJ474" s="142"/>
      <c r="BK474" s="32">
        <f>Y474*BE474</f>
        <v>0</v>
      </c>
      <c r="BL474" s="35"/>
      <c r="BM474" s="35"/>
      <c r="BN474" s="35"/>
      <c r="BO474" s="35"/>
      <c r="BP474" s="25">
        <f>BE474*AV474</f>
        <v>0</v>
      </c>
      <c r="BQ474" s="25">
        <f>BE474*AX474</f>
        <v>0</v>
      </c>
      <c r="BR474" s="28"/>
      <c r="BS474" s="32"/>
    </row>
    <row r="475" spans="1:71" s="6" customFormat="1" ht="41.25" customHeight="1">
      <c r="A475" s="18">
        <v>472</v>
      </c>
      <c r="B475" s="18" t="s">
        <v>58</v>
      </c>
      <c r="C475" s="33" t="s">
        <v>481</v>
      </c>
      <c r="D475" s="75" t="s">
        <v>482</v>
      </c>
      <c r="E475" s="22" t="s">
        <v>999</v>
      </c>
      <c r="F475" s="75" t="s">
        <v>482</v>
      </c>
      <c r="G475" s="75"/>
      <c r="H475" s="22"/>
      <c r="I475" s="22"/>
      <c r="J475" s="22"/>
      <c r="K475" s="22"/>
      <c r="L475" s="22"/>
      <c r="M475" s="22"/>
      <c r="N475" s="22" t="s">
        <v>1003</v>
      </c>
      <c r="O475" s="23"/>
      <c r="P475" s="18" t="s">
        <v>56</v>
      </c>
      <c r="Q475" s="72"/>
      <c r="R475" s="72"/>
      <c r="S475" s="35">
        <v>5</v>
      </c>
      <c r="T475" s="26"/>
      <c r="U475" s="26"/>
      <c r="V475" s="35"/>
      <c r="W475" s="154"/>
      <c r="X475" s="35"/>
      <c r="Y475" s="26">
        <f>T475+R475+Q475+U475+W475</f>
        <v>0</v>
      </c>
      <c r="Z475" s="27">
        <v>5</v>
      </c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>
        <f>SUM(AM475:AS475)</f>
        <v>0</v>
      </c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72">
        <f>Y475-AV475-AX475-AW475</f>
        <v>0</v>
      </c>
      <c r="AZ475" s="68"/>
      <c r="BA475" s="26">
        <f>AL475+AG475+AA475+AT475</f>
        <v>0</v>
      </c>
      <c r="BB475" s="30">
        <f>BD475+AO475+AG475</f>
        <v>0</v>
      </c>
      <c r="BC475" s="30">
        <f>BD475+AS475</f>
        <v>0</v>
      </c>
      <c r="BD475" s="30">
        <f>IF(BA475&gt;0,Y475-BA475,BA475)</f>
        <v>0</v>
      </c>
      <c r="BE475" s="31">
        <v>747.9</v>
      </c>
      <c r="BF475" s="30" t="s">
        <v>57</v>
      </c>
      <c r="BG475" s="31">
        <f>BE475*Q475</f>
        <v>0</v>
      </c>
      <c r="BH475" s="31">
        <f>BE475*R475*0.4</f>
        <v>0</v>
      </c>
      <c r="BI475" s="142"/>
      <c r="BJ475" s="142"/>
      <c r="BK475" s="32">
        <f>Y475*BE475</f>
        <v>0</v>
      </c>
      <c r="BL475" s="35"/>
      <c r="BM475" s="35"/>
      <c r="BN475" s="35"/>
      <c r="BO475" s="35"/>
      <c r="BP475" s="25">
        <f>BE475*AV475</f>
        <v>0</v>
      </c>
      <c r="BQ475" s="25">
        <f>BE475*AX475</f>
        <v>0</v>
      </c>
      <c r="BR475" s="28"/>
      <c r="BS475" s="32"/>
    </row>
    <row r="476" spans="1:71" s="6" customFormat="1" ht="41.25" customHeight="1">
      <c r="A476" s="18">
        <v>473</v>
      </c>
      <c r="B476" s="18" t="s">
        <v>58</v>
      </c>
      <c r="C476" s="33" t="s">
        <v>481</v>
      </c>
      <c r="D476" s="75" t="s">
        <v>482</v>
      </c>
      <c r="E476" s="22" t="s">
        <v>999</v>
      </c>
      <c r="F476" s="75" t="s">
        <v>482</v>
      </c>
      <c r="G476" s="75"/>
      <c r="H476" s="22"/>
      <c r="I476" s="22"/>
      <c r="J476" s="22"/>
      <c r="K476" s="22"/>
      <c r="L476" s="22"/>
      <c r="M476" s="22"/>
      <c r="N476" s="22" t="s">
        <v>1004</v>
      </c>
      <c r="O476" s="23"/>
      <c r="P476" s="18" t="s">
        <v>56</v>
      </c>
      <c r="Q476" s="72"/>
      <c r="R476" s="72"/>
      <c r="S476" s="35">
        <v>5</v>
      </c>
      <c r="T476" s="26"/>
      <c r="U476" s="26"/>
      <c r="V476" s="35"/>
      <c r="W476" s="154"/>
      <c r="X476" s="35"/>
      <c r="Y476" s="26">
        <f>T476+R476+Q476+U476+W476</f>
        <v>0</v>
      </c>
      <c r="Z476" s="27">
        <v>5</v>
      </c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>
        <f>SUM(AM476:AS476)</f>
        <v>0</v>
      </c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72">
        <f>Y476-AV476-AX476-AW476</f>
        <v>0</v>
      </c>
      <c r="AZ476" s="68"/>
      <c r="BA476" s="26">
        <f>AL476+AG476+AA476+AT476</f>
        <v>0</v>
      </c>
      <c r="BB476" s="30">
        <f>BD476+AO476+AG476</f>
        <v>0</v>
      </c>
      <c r="BC476" s="30">
        <f>BD476+AS476</f>
        <v>0</v>
      </c>
      <c r="BD476" s="30">
        <f>IF(BA476&gt;0,Y476-BA476,BA476)</f>
        <v>0</v>
      </c>
      <c r="BE476" s="31">
        <v>747.9</v>
      </c>
      <c r="BF476" s="30" t="s">
        <v>57</v>
      </c>
      <c r="BG476" s="31">
        <f>BE476*Q476</f>
        <v>0</v>
      </c>
      <c r="BH476" s="31">
        <f>BE476*R476*0.4</f>
        <v>0</v>
      </c>
      <c r="BI476" s="142"/>
      <c r="BJ476" s="142"/>
      <c r="BK476" s="32">
        <f>Y476*BE476</f>
        <v>0</v>
      </c>
      <c r="BL476" s="35"/>
      <c r="BM476" s="35"/>
      <c r="BN476" s="35"/>
      <c r="BO476" s="35"/>
      <c r="BP476" s="25">
        <f>BE476*AV476</f>
        <v>0</v>
      </c>
      <c r="BQ476" s="25">
        <f>BE476*AX476</f>
        <v>0</v>
      </c>
      <c r="BR476" s="28"/>
      <c r="BS476" s="32"/>
    </row>
    <row r="477" spans="1:71" s="6" customFormat="1" ht="41.25" customHeight="1">
      <c r="A477" s="18">
        <v>474</v>
      </c>
      <c r="B477" s="18" t="s">
        <v>58</v>
      </c>
      <c r="C477" s="33" t="s">
        <v>481</v>
      </c>
      <c r="D477" s="75" t="s">
        <v>482</v>
      </c>
      <c r="E477" s="22" t="s">
        <v>999</v>
      </c>
      <c r="F477" s="75" t="s">
        <v>482</v>
      </c>
      <c r="G477" s="75"/>
      <c r="H477" s="22"/>
      <c r="I477" s="22"/>
      <c r="J477" s="22"/>
      <c r="K477" s="22"/>
      <c r="L477" s="22"/>
      <c r="M477" s="22"/>
      <c r="N477" s="22" t="s">
        <v>1005</v>
      </c>
      <c r="O477" s="23"/>
      <c r="P477" s="18" t="s">
        <v>56</v>
      </c>
      <c r="Q477" s="72"/>
      <c r="R477" s="72"/>
      <c r="S477" s="35">
        <v>5</v>
      </c>
      <c r="T477" s="26"/>
      <c r="U477" s="26"/>
      <c r="V477" s="35"/>
      <c r="W477" s="154"/>
      <c r="X477" s="35"/>
      <c r="Y477" s="26">
        <f>T477+R477+Q477+U477+W477</f>
        <v>0</v>
      </c>
      <c r="Z477" s="27">
        <v>5</v>
      </c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>
        <f>SUM(AM477:AS477)</f>
        <v>0</v>
      </c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72">
        <f>Y477-AV477-AX477-AW477</f>
        <v>0</v>
      </c>
      <c r="AZ477" s="68"/>
      <c r="BA477" s="26">
        <f>AL477+AG477+AA477+AT477</f>
        <v>0</v>
      </c>
      <c r="BB477" s="30">
        <f>BD477+AO477+AG477</f>
        <v>0</v>
      </c>
      <c r="BC477" s="30">
        <f>BD477+AS477</f>
        <v>0</v>
      </c>
      <c r="BD477" s="30">
        <f>IF(BA477&gt;0,Y477-BA477,BA477)</f>
        <v>0</v>
      </c>
      <c r="BE477" s="31">
        <v>747.9</v>
      </c>
      <c r="BF477" s="30" t="s">
        <v>57</v>
      </c>
      <c r="BG477" s="31">
        <f>BE477*Q477</f>
        <v>0</v>
      </c>
      <c r="BH477" s="31">
        <f>BE477*R477*0.4</f>
        <v>0</v>
      </c>
      <c r="BI477" s="142"/>
      <c r="BJ477" s="142"/>
      <c r="BK477" s="32">
        <f>Y477*BE477</f>
        <v>0</v>
      </c>
      <c r="BL477" s="35"/>
      <c r="BM477" s="35"/>
      <c r="BN477" s="35"/>
      <c r="BO477" s="35"/>
      <c r="BP477" s="25">
        <f>BE477*AV477</f>
        <v>0</v>
      </c>
      <c r="BQ477" s="25">
        <f>BE477*AX477</f>
        <v>0</v>
      </c>
      <c r="BR477" s="26"/>
      <c r="BS477" s="32"/>
    </row>
    <row r="478" spans="1:71" s="6" customFormat="1" ht="41.25" customHeight="1">
      <c r="A478" s="18">
        <v>475</v>
      </c>
      <c r="B478" s="18" t="s">
        <v>58</v>
      </c>
      <c r="C478" s="33" t="s">
        <v>481</v>
      </c>
      <c r="D478" s="75" t="s">
        <v>482</v>
      </c>
      <c r="E478" s="22" t="s">
        <v>1006</v>
      </c>
      <c r="F478" s="75" t="s">
        <v>482</v>
      </c>
      <c r="G478" s="75"/>
      <c r="H478" s="22"/>
      <c r="I478" s="22"/>
      <c r="J478" s="22"/>
      <c r="K478" s="22"/>
      <c r="L478" s="22"/>
      <c r="M478" s="22"/>
      <c r="N478" s="22" t="s">
        <v>1007</v>
      </c>
      <c r="O478" s="23"/>
      <c r="P478" s="18" t="s">
        <v>56</v>
      </c>
      <c r="Q478" s="29">
        <v>5</v>
      </c>
      <c r="R478" s="72"/>
      <c r="S478" s="35">
        <v>5</v>
      </c>
      <c r="T478" s="26"/>
      <c r="U478" s="26"/>
      <c r="V478" s="35"/>
      <c r="W478" s="154"/>
      <c r="X478" s="35"/>
      <c r="Y478" s="53">
        <f>T478+R478+Q478+U478+W478</f>
        <v>5</v>
      </c>
      <c r="Z478" s="27">
        <v>5</v>
      </c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>
        <f>SUM(AM478:AS478)</f>
        <v>0</v>
      </c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9">
        <f>Y478-AV478-AX478-AW478</f>
        <v>5</v>
      </c>
      <c r="AZ478" s="29"/>
      <c r="BA478" s="26">
        <f>AL478+AG478+AA478+AT478</f>
        <v>0</v>
      </c>
      <c r="BB478" s="30">
        <f>BD478+AO478+AG478</f>
        <v>0</v>
      </c>
      <c r="BC478" s="30">
        <f>BD478+AS478</f>
        <v>0</v>
      </c>
      <c r="BD478" s="30">
        <f>IF(BA478&gt;0,Y478-BA478,BA478)</f>
        <v>0</v>
      </c>
      <c r="BE478" s="31">
        <v>747.9</v>
      </c>
      <c r="BF478" s="30" t="s">
        <v>57</v>
      </c>
      <c r="BG478" s="31">
        <f>BE478*Q478</f>
        <v>3739.5</v>
      </c>
      <c r="BH478" s="31">
        <f>BE478*R478*0.4</f>
        <v>0</v>
      </c>
      <c r="BI478" s="142"/>
      <c r="BJ478" s="142"/>
      <c r="BK478" s="32">
        <f>Y478*BE478</f>
        <v>3739.5</v>
      </c>
      <c r="BL478" s="35"/>
      <c r="BM478" s="35"/>
      <c r="BN478" s="35"/>
      <c r="BO478" s="35"/>
      <c r="BP478" s="25">
        <f>BE478*AV478</f>
        <v>0</v>
      </c>
      <c r="BQ478" s="25">
        <f>BE478*AX478</f>
        <v>0</v>
      </c>
      <c r="BR478" s="26"/>
      <c r="BS478" s="32"/>
    </row>
    <row r="479" spans="1:71" s="6" customFormat="1" ht="41.25" customHeight="1">
      <c r="A479" s="18">
        <v>476</v>
      </c>
      <c r="B479" s="18" t="s">
        <v>58</v>
      </c>
      <c r="C479" s="33" t="s">
        <v>481</v>
      </c>
      <c r="D479" s="75" t="s">
        <v>482</v>
      </c>
      <c r="E479" s="22" t="s">
        <v>1006</v>
      </c>
      <c r="F479" s="75" t="s">
        <v>482</v>
      </c>
      <c r="G479" s="75"/>
      <c r="H479" s="22"/>
      <c r="I479" s="22"/>
      <c r="J479" s="22"/>
      <c r="K479" s="22"/>
      <c r="L479" s="22"/>
      <c r="M479" s="22"/>
      <c r="N479" s="22" t="s">
        <v>1008</v>
      </c>
      <c r="O479" s="23"/>
      <c r="P479" s="18" t="s">
        <v>56</v>
      </c>
      <c r="Q479" s="29">
        <v>55</v>
      </c>
      <c r="R479" s="72"/>
      <c r="S479" s="35">
        <v>5</v>
      </c>
      <c r="T479" s="26"/>
      <c r="U479" s="26"/>
      <c r="V479" s="35"/>
      <c r="W479" s="154"/>
      <c r="X479" s="35"/>
      <c r="Y479" s="53">
        <f>T479+R479+Q479+U479+W479</f>
        <v>55</v>
      </c>
      <c r="Z479" s="27">
        <v>5</v>
      </c>
      <c r="AA479" s="26"/>
      <c r="AB479" s="26"/>
      <c r="AC479" s="26"/>
      <c r="AD479" s="26"/>
      <c r="AE479" s="26"/>
      <c r="AF479" s="26"/>
      <c r="AG479" s="57">
        <f>SUBTOTAL(9,AH479:AK479)</f>
        <v>47</v>
      </c>
      <c r="AH479" s="26"/>
      <c r="AI479" s="26"/>
      <c r="AJ479" s="57">
        <v>47</v>
      </c>
      <c r="AK479" s="26"/>
      <c r="AL479" s="26">
        <f>SUM(AM479:AS479)</f>
        <v>0</v>
      </c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9">
        <f>Y479-AV479-AX479-AW479</f>
        <v>55</v>
      </c>
      <c r="AZ479" s="29">
        <f ca="1">'Layout for shadhous 1&amp;2'!I69</f>
        <v>50</v>
      </c>
      <c r="BA479" s="26">
        <f>AL479+AG479+AA479+AT479</f>
        <v>47</v>
      </c>
      <c r="BB479" s="30">
        <f>BD479+AO479+AG479</f>
        <v>55</v>
      </c>
      <c r="BC479" s="30">
        <f>BD479+AS479</f>
        <v>8</v>
      </c>
      <c r="BD479" s="30">
        <f>IF(BA479&gt;0,Y479-BA479,BA479)</f>
        <v>8</v>
      </c>
      <c r="BE479" s="31">
        <v>747.9</v>
      </c>
      <c r="BF479" s="30" t="s">
        <v>57</v>
      </c>
      <c r="BG479" s="31">
        <f>BE479*Q479</f>
        <v>41134.5</v>
      </c>
      <c r="BH479" s="31">
        <f>BE479*R479*0.4</f>
        <v>0</v>
      </c>
      <c r="BI479" s="142"/>
      <c r="BJ479" s="142"/>
      <c r="BK479" s="32">
        <f>Y479*BE479</f>
        <v>41134.5</v>
      </c>
      <c r="BL479" s="35"/>
      <c r="BM479" s="35"/>
      <c r="BN479" s="35"/>
      <c r="BO479" s="35"/>
      <c r="BP479" s="25">
        <f>BE479*AV479</f>
        <v>0</v>
      </c>
      <c r="BQ479" s="25">
        <f>BE479*AX479</f>
        <v>0</v>
      </c>
      <c r="BR479" s="26"/>
      <c r="BS479" s="32"/>
    </row>
    <row r="480" spans="1:71" s="6" customFormat="1" ht="41.25" customHeight="1">
      <c r="A480" s="18">
        <v>477</v>
      </c>
      <c r="B480" s="18" t="s">
        <v>58</v>
      </c>
      <c r="C480" s="33" t="s">
        <v>481</v>
      </c>
      <c r="D480" s="75" t="s">
        <v>482</v>
      </c>
      <c r="E480" s="22" t="s">
        <v>1006</v>
      </c>
      <c r="F480" s="75" t="s">
        <v>482</v>
      </c>
      <c r="G480" s="75"/>
      <c r="H480" s="22"/>
      <c r="I480" s="22"/>
      <c r="J480" s="22"/>
      <c r="K480" s="22"/>
      <c r="L480" s="22"/>
      <c r="M480" s="22"/>
      <c r="N480" s="22" t="s">
        <v>1009</v>
      </c>
      <c r="O480" s="23"/>
      <c r="P480" s="18" t="s">
        <v>56</v>
      </c>
      <c r="Q480" s="29">
        <v>5</v>
      </c>
      <c r="R480" s="72"/>
      <c r="S480" s="35">
        <v>5</v>
      </c>
      <c r="T480" s="26"/>
      <c r="U480" s="26"/>
      <c r="V480" s="35"/>
      <c r="W480" s="154"/>
      <c r="X480" s="35"/>
      <c r="Y480" s="53">
        <f>T480+R480+Q480+U480+W480</f>
        <v>5</v>
      </c>
      <c r="Z480" s="27">
        <v>5</v>
      </c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>
        <f>SUM(AM480:AS480)</f>
        <v>0</v>
      </c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9">
        <f>Y480-AV480-AX480-AW480</f>
        <v>5</v>
      </c>
      <c r="AZ480" s="29"/>
      <c r="BA480" s="26">
        <f>AL480+AG480+AA480+AT480</f>
        <v>0</v>
      </c>
      <c r="BB480" s="30">
        <f>BD480+AO480+AG480</f>
        <v>0</v>
      </c>
      <c r="BC480" s="30">
        <f>BD480+AS480</f>
        <v>0</v>
      </c>
      <c r="BD480" s="30">
        <f>IF(BA480&gt;0,Y480-BA480,BA480)</f>
        <v>0</v>
      </c>
      <c r="BE480" s="31">
        <v>747.9</v>
      </c>
      <c r="BF480" s="30" t="s">
        <v>57</v>
      </c>
      <c r="BG480" s="31">
        <f>BE480*Q480</f>
        <v>3739.5</v>
      </c>
      <c r="BH480" s="31">
        <f>BE480*R480*0.4</f>
        <v>0</v>
      </c>
      <c r="BI480" s="142"/>
      <c r="BJ480" s="142"/>
      <c r="BK480" s="32">
        <f>Y480*BE480</f>
        <v>3739.5</v>
      </c>
      <c r="BL480" s="35"/>
      <c r="BM480" s="35"/>
      <c r="BN480" s="35"/>
      <c r="BO480" s="35"/>
      <c r="BP480" s="25">
        <f>BE480*AV480</f>
        <v>0</v>
      </c>
      <c r="BQ480" s="25">
        <f>BE480*AX480</f>
        <v>0</v>
      </c>
      <c r="BR480" s="28"/>
      <c r="BS480" s="32"/>
    </row>
    <row r="481" spans="1:71" s="6" customFormat="1" ht="41.25" customHeight="1">
      <c r="A481" s="18">
        <v>478</v>
      </c>
      <c r="B481" s="18" t="s">
        <v>58</v>
      </c>
      <c r="C481" s="33" t="s">
        <v>481</v>
      </c>
      <c r="D481" s="75" t="s">
        <v>482</v>
      </c>
      <c r="E481" s="22" t="s">
        <v>1006</v>
      </c>
      <c r="F481" s="75" t="s">
        <v>482</v>
      </c>
      <c r="G481" s="75"/>
      <c r="H481" s="22"/>
      <c r="I481" s="22"/>
      <c r="J481" s="22"/>
      <c r="K481" s="22"/>
      <c r="L481" s="22"/>
      <c r="M481" s="22"/>
      <c r="N481" s="22" t="s">
        <v>1010</v>
      </c>
      <c r="O481" s="23"/>
      <c r="P481" s="18" t="s">
        <v>56</v>
      </c>
      <c r="Q481" s="72"/>
      <c r="R481" s="72"/>
      <c r="S481" s="35">
        <v>5</v>
      </c>
      <c r="T481" s="26"/>
      <c r="U481" s="26"/>
      <c r="V481" s="35"/>
      <c r="W481" s="154"/>
      <c r="X481" s="35"/>
      <c r="Y481" s="26">
        <f>T481+R481+Q481+U481+W481</f>
        <v>0</v>
      </c>
      <c r="Z481" s="27">
        <v>5</v>
      </c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>
        <f>SUM(AM481:AS481)</f>
        <v>0</v>
      </c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72">
        <f>Y481-AV481-AX481-AW481</f>
        <v>0</v>
      </c>
      <c r="AZ481" s="68"/>
      <c r="BA481" s="26">
        <f>AL481+AG481+AA481+AT481</f>
        <v>0</v>
      </c>
      <c r="BB481" s="30">
        <f>BD481+AO481+AG481</f>
        <v>0</v>
      </c>
      <c r="BC481" s="30">
        <f>BD481+AS481</f>
        <v>0</v>
      </c>
      <c r="BD481" s="30">
        <f>IF(BA481&gt;0,Y481-BA481,BA481)</f>
        <v>0</v>
      </c>
      <c r="BE481" s="31">
        <v>747.9</v>
      </c>
      <c r="BF481" s="30" t="s">
        <v>57</v>
      </c>
      <c r="BG481" s="31">
        <f>BE481*Q481</f>
        <v>0</v>
      </c>
      <c r="BH481" s="31">
        <f>BE481*R481*0.4</f>
        <v>0</v>
      </c>
      <c r="BI481" s="142"/>
      <c r="BJ481" s="142"/>
      <c r="BK481" s="32">
        <f>Y481*BE481</f>
        <v>0</v>
      </c>
      <c r="BL481" s="35"/>
      <c r="BM481" s="35"/>
      <c r="BN481" s="35"/>
      <c r="BO481" s="35"/>
      <c r="BP481" s="25">
        <f>BE481*AV481</f>
        <v>0</v>
      </c>
      <c r="BQ481" s="25">
        <f>BE481*AX481</f>
        <v>0</v>
      </c>
      <c r="BR481" s="26"/>
      <c r="BS481" s="32"/>
    </row>
    <row r="482" spans="1:71" s="6" customFormat="1" ht="41.25" customHeight="1">
      <c r="A482" s="18">
        <v>479</v>
      </c>
      <c r="B482" s="18" t="s">
        <v>58</v>
      </c>
      <c r="C482" s="33" t="s">
        <v>481</v>
      </c>
      <c r="D482" s="75" t="s">
        <v>482</v>
      </c>
      <c r="E482" s="22" t="s">
        <v>1006</v>
      </c>
      <c r="F482" s="75" t="s">
        <v>482</v>
      </c>
      <c r="G482" s="75"/>
      <c r="H482" s="22"/>
      <c r="I482" s="22"/>
      <c r="J482" s="22"/>
      <c r="K482" s="22"/>
      <c r="L482" s="22"/>
      <c r="M482" s="22"/>
      <c r="N482" s="22" t="s">
        <v>1011</v>
      </c>
      <c r="O482" s="23"/>
      <c r="P482" s="18" t="s">
        <v>56</v>
      </c>
      <c r="Q482" s="29">
        <v>5</v>
      </c>
      <c r="R482" s="72"/>
      <c r="S482" s="35">
        <v>5</v>
      </c>
      <c r="T482" s="26"/>
      <c r="U482" s="26"/>
      <c r="V482" s="35"/>
      <c r="W482" s="154"/>
      <c r="X482" s="35"/>
      <c r="Y482" s="53">
        <f>T482+R482+Q482+U482+W482</f>
        <v>5</v>
      </c>
      <c r="Z482" s="27">
        <v>5</v>
      </c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>
        <f>SUM(AM482:AS482)</f>
        <v>0</v>
      </c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9">
        <f>Y482-AV482-AX482-AW482</f>
        <v>5</v>
      </c>
      <c r="AZ482" s="29"/>
      <c r="BA482" s="26">
        <f>AL482+AG482+AA482+AT482</f>
        <v>0</v>
      </c>
      <c r="BB482" s="30">
        <f>BD482+AO482+AG482</f>
        <v>0</v>
      </c>
      <c r="BC482" s="30">
        <f>BD482+AS482</f>
        <v>0</v>
      </c>
      <c r="BD482" s="30">
        <f>IF(BA482&gt;0,Y482-BA482,BA482)</f>
        <v>0</v>
      </c>
      <c r="BE482" s="31">
        <v>747.9</v>
      </c>
      <c r="BF482" s="30" t="s">
        <v>57</v>
      </c>
      <c r="BG482" s="31">
        <f>BE482*Q482</f>
        <v>3739.5</v>
      </c>
      <c r="BH482" s="31">
        <f>BE482*R482*0.4</f>
        <v>0</v>
      </c>
      <c r="BI482" s="142"/>
      <c r="BJ482" s="142"/>
      <c r="BK482" s="32">
        <f>Y482*BE482</f>
        <v>3739.5</v>
      </c>
      <c r="BL482" s="35"/>
      <c r="BM482" s="35"/>
      <c r="BN482" s="35"/>
      <c r="BO482" s="35"/>
      <c r="BP482" s="25">
        <f>BE482*AV482</f>
        <v>0</v>
      </c>
      <c r="BQ482" s="25">
        <f>BE482*AX482</f>
        <v>0</v>
      </c>
      <c r="BR482" s="28"/>
      <c r="BS482" s="32"/>
    </row>
    <row r="483" spans="1:71" s="6" customFormat="1" ht="41.25" customHeight="1">
      <c r="A483" s="18">
        <v>480</v>
      </c>
      <c r="B483" s="18" t="s">
        <v>58</v>
      </c>
      <c r="C483" s="33" t="s">
        <v>481</v>
      </c>
      <c r="D483" s="75" t="s">
        <v>482</v>
      </c>
      <c r="E483" s="22" t="s">
        <v>1006</v>
      </c>
      <c r="F483" s="75" t="s">
        <v>482</v>
      </c>
      <c r="G483" s="75"/>
      <c r="H483" s="22"/>
      <c r="I483" s="22"/>
      <c r="J483" s="22"/>
      <c r="K483" s="22"/>
      <c r="L483" s="22"/>
      <c r="M483" s="22"/>
      <c r="N483" s="22" t="s">
        <v>1012</v>
      </c>
      <c r="O483" s="23"/>
      <c r="P483" s="18" t="s">
        <v>56</v>
      </c>
      <c r="Q483" s="72"/>
      <c r="R483" s="72"/>
      <c r="S483" s="35">
        <v>5</v>
      </c>
      <c r="T483" s="26"/>
      <c r="U483" s="26"/>
      <c r="V483" s="35"/>
      <c r="W483" s="154"/>
      <c r="X483" s="35"/>
      <c r="Y483" s="26">
        <f>T483+R483+Q483+U483+W483</f>
        <v>0</v>
      </c>
      <c r="Z483" s="27">
        <v>5</v>
      </c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>
        <f>SUM(AM483:AS483)</f>
        <v>0</v>
      </c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72">
        <f>Y483-AV483-AX483-AW483</f>
        <v>0</v>
      </c>
      <c r="AZ483" s="68"/>
      <c r="BA483" s="26">
        <f>AL483+AG483+AA483+AT483</f>
        <v>0</v>
      </c>
      <c r="BB483" s="30">
        <f>BD483+AO483+AG483</f>
        <v>0</v>
      </c>
      <c r="BC483" s="30">
        <f>BD483+AS483</f>
        <v>0</v>
      </c>
      <c r="BD483" s="30">
        <f>IF(BA483&gt;0,Y483-BA483,BA483)</f>
        <v>0</v>
      </c>
      <c r="BE483" s="31">
        <v>747.9</v>
      </c>
      <c r="BF483" s="30" t="s">
        <v>57</v>
      </c>
      <c r="BG483" s="31">
        <f>BE483*Q483</f>
        <v>0</v>
      </c>
      <c r="BH483" s="31">
        <f>BE483*R483*0.4</f>
        <v>0</v>
      </c>
      <c r="BI483" s="142"/>
      <c r="BJ483" s="142"/>
      <c r="BK483" s="32">
        <f>Y483*BE483</f>
        <v>0</v>
      </c>
      <c r="BL483" s="35"/>
      <c r="BM483" s="35"/>
      <c r="BN483" s="35"/>
      <c r="BO483" s="35"/>
      <c r="BP483" s="25">
        <f>BE483*AV483</f>
        <v>0</v>
      </c>
      <c r="BQ483" s="25">
        <f>BE483*AX483</f>
        <v>0</v>
      </c>
      <c r="BR483" s="26"/>
      <c r="BS483" s="32"/>
    </row>
    <row r="484" spans="1:71" s="6" customFormat="1" ht="41.25" customHeight="1">
      <c r="A484" s="18">
        <v>481</v>
      </c>
      <c r="B484" s="18" t="s">
        <v>58</v>
      </c>
      <c r="C484" s="33" t="s">
        <v>481</v>
      </c>
      <c r="D484" s="75" t="s">
        <v>482</v>
      </c>
      <c r="E484" s="22" t="s">
        <v>1013</v>
      </c>
      <c r="F484" s="75" t="s">
        <v>482</v>
      </c>
      <c r="G484" s="75"/>
      <c r="H484" s="22"/>
      <c r="I484" s="22"/>
      <c r="J484" s="22"/>
      <c r="K484" s="22"/>
      <c r="L484" s="22"/>
      <c r="M484" s="22"/>
      <c r="N484" s="22" t="s">
        <v>1014</v>
      </c>
      <c r="O484" s="23"/>
      <c r="P484" s="18" t="s">
        <v>56</v>
      </c>
      <c r="Q484" s="72"/>
      <c r="R484" s="72"/>
      <c r="S484" s="35">
        <v>5</v>
      </c>
      <c r="T484" s="26"/>
      <c r="U484" s="26"/>
      <c r="V484" s="35"/>
      <c r="W484" s="154"/>
      <c r="X484" s="35"/>
      <c r="Y484" s="26">
        <f>T484+R484+Q484+U484+W484</f>
        <v>0</v>
      </c>
      <c r="Z484" s="27">
        <v>5</v>
      </c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>
        <f>SUM(AM484:AS484)</f>
        <v>0</v>
      </c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72">
        <f>Y484-AV484-AX484-AW484</f>
        <v>0</v>
      </c>
      <c r="AZ484" s="68"/>
      <c r="BA484" s="26">
        <f>AL484+AG484+AA484+AT484</f>
        <v>0</v>
      </c>
      <c r="BB484" s="30">
        <f>BD484+AO484+AG484</f>
        <v>0</v>
      </c>
      <c r="BC484" s="30">
        <f>BD484+AS484</f>
        <v>0</v>
      </c>
      <c r="BD484" s="30">
        <f>IF(BA484&gt;0,Y484-BA484,BA484)</f>
        <v>0</v>
      </c>
      <c r="BE484" s="31">
        <v>747.9</v>
      </c>
      <c r="BF484" s="30" t="s">
        <v>57</v>
      </c>
      <c r="BG484" s="31">
        <f>BE484*Q484</f>
        <v>0</v>
      </c>
      <c r="BH484" s="31">
        <f>BE484*R484*0.4</f>
        <v>0</v>
      </c>
      <c r="BI484" s="142"/>
      <c r="BJ484" s="142"/>
      <c r="BK484" s="32">
        <f>Y484*BE484</f>
        <v>0</v>
      </c>
      <c r="BL484" s="35"/>
      <c r="BM484" s="35"/>
      <c r="BN484" s="35"/>
      <c r="BO484" s="35"/>
      <c r="BP484" s="25">
        <f>BE484*AV484</f>
        <v>0</v>
      </c>
      <c r="BQ484" s="25">
        <f>BE484*AX484</f>
        <v>0</v>
      </c>
      <c r="BR484" s="26"/>
      <c r="BS484" s="32"/>
    </row>
    <row r="485" spans="1:71" s="6" customFormat="1" ht="41.25" customHeight="1">
      <c r="A485" s="18">
        <v>482</v>
      </c>
      <c r="B485" s="18" t="s">
        <v>58</v>
      </c>
      <c r="C485" s="33" t="s">
        <v>481</v>
      </c>
      <c r="D485" s="75" t="s">
        <v>482</v>
      </c>
      <c r="E485" s="22" t="s">
        <v>1013</v>
      </c>
      <c r="F485" s="75" t="s">
        <v>482</v>
      </c>
      <c r="G485" s="75"/>
      <c r="H485" s="22"/>
      <c r="I485" s="22"/>
      <c r="J485" s="22"/>
      <c r="K485" s="22"/>
      <c r="L485" s="22"/>
      <c r="M485" s="22"/>
      <c r="N485" s="22" t="s">
        <v>1015</v>
      </c>
      <c r="O485" s="23"/>
      <c r="P485" s="18" t="s">
        <v>56</v>
      </c>
      <c r="Q485" s="72"/>
      <c r="R485" s="72"/>
      <c r="S485" s="35">
        <v>5</v>
      </c>
      <c r="T485" s="26"/>
      <c r="U485" s="26"/>
      <c r="V485" s="35"/>
      <c r="W485" s="154"/>
      <c r="X485" s="35"/>
      <c r="Y485" s="26">
        <f>T485+R485+Q485+U485+W485</f>
        <v>0</v>
      </c>
      <c r="Z485" s="27">
        <v>5</v>
      </c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>
        <f>SUM(AM485:AS485)</f>
        <v>0</v>
      </c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72">
        <f>Y485-AV485-AX485-AW485</f>
        <v>0</v>
      </c>
      <c r="AZ485" s="68"/>
      <c r="BA485" s="26">
        <f>AL485+AG485+AA485+AT485</f>
        <v>0</v>
      </c>
      <c r="BB485" s="30">
        <f>BD485+AO485+AG485</f>
        <v>0</v>
      </c>
      <c r="BC485" s="30">
        <f>BD485+AS485</f>
        <v>0</v>
      </c>
      <c r="BD485" s="30">
        <f>IF(BA485&gt;0,Y485-BA485,BA485)</f>
        <v>0</v>
      </c>
      <c r="BE485" s="31">
        <v>747.9</v>
      </c>
      <c r="BF485" s="30" t="s">
        <v>57</v>
      </c>
      <c r="BG485" s="31">
        <f>BE485*Q485</f>
        <v>0</v>
      </c>
      <c r="BH485" s="31">
        <f>BE485*R485*0.4</f>
        <v>0</v>
      </c>
      <c r="BI485" s="142"/>
      <c r="BJ485" s="142"/>
      <c r="BK485" s="32">
        <f>Y485*BE485</f>
        <v>0</v>
      </c>
      <c r="BL485" s="35"/>
      <c r="BM485" s="35"/>
      <c r="BN485" s="35"/>
      <c r="BO485" s="35"/>
      <c r="BP485" s="25">
        <f>BE485*AV485</f>
        <v>0</v>
      </c>
      <c r="BQ485" s="25">
        <f>BE485*AX485</f>
        <v>0</v>
      </c>
      <c r="BR485" s="26"/>
      <c r="BS485" s="32"/>
    </row>
    <row r="486" spans="1:71" s="6" customFormat="1" ht="41.25" customHeight="1">
      <c r="A486" s="18">
        <v>483</v>
      </c>
      <c r="B486" s="18" t="s">
        <v>58</v>
      </c>
      <c r="C486" s="33" t="s">
        <v>481</v>
      </c>
      <c r="D486" s="75" t="s">
        <v>482</v>
      </c>
      <c r="E486" s="22" t="s">
        <v>1013</v>
      </c>
      <c r="F486" s="75" t="s">
        <v>482</v>
      </c>
      <c r="G486" s="75"/>
      <c r="H486" s="22"/>
      <c r="I486" s="22"/>
      <c r="J486" s="22"/>
      <c r="K486" s="22"/>
      <c r="L486" s="22"/>
      <c r="M486" s="22"/>
      <c r="N486" s="22" t="s">
        <v>1016</v>
      </c>
      <c r="O486" s="23"/>
      <c r="P486" s="18" t="s">
        <v>56</v>
      </c>
      <c r="Q486" s="72"/>
      <c r="R486" s="72"/>
      <c r="S486" s="35">
        <v>5</v>
      </c>
      <c r="T486" s="26"/>
      <c r="U486" s="26"/>
      <c r="V486" s="35"/>
      <c r="W486" s="154"/>
      <c r="X486" s="35"/>
      <c r="Y486" s="26">
        <f>T486+R486+Q486+U486+W486</f>
        <v>0</v>
      </c>
      <c r="Z486" s="27">
        <v>5</v>
      </c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>
        <f>SUM(AM486:AS486)</f>
        <v>0</v>
      </c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72">
        <f>Y486-AV486-AX486-AW486</f>
        <v>0</v>
      </c>
      <c r="AZ486" s="68"/>
      <c r="BA486" s="26">
        <f>AL486+AG486+AA486+AT486</f>
        <v>0</v>
      </c>
      <c r="BB486" s="30">
        <f>BD486+AO486+AG486</f>
        <v>0</v>
      </c>
      <c r="BC486" s="30">
        <f>BD486+AS486</f>
        <v>0</v>
      </c>
      <c r="BD486" s="30">
        <f>IF(BA486&gt;0,Y486-BA486,BA486)</f>
        <v>0</v>
      </c>
      <c r="BE486" s="31">
        <v>747.9</v>
      </c>
      <c r="BF486" s="30" t="s">
        <v>57</v>
      </c>
      <c r="BG486" s="31">
        <f>BE486*Q486</f>
        <v>0</v>
      </c>
      <c r="BH486" s="31">
        <f>BE486*R486*0.4</f>
        <v>0</v>
      </c>
      <c r="BI486" s="142"/>
      <c r="BJ486" s="142"/>
      <c r="BK486" s="32">
        <f>Y486*BE486</f>
        <v>0</v>
      </c>
      <c r="BL486" s="35"/>
      <c r="BM486" s="35"/>
      <c r="BN486" s="35"/>
      <c r="BO486" s="35"/>
      <c r="BP486" s="25">
        <f>BE486*AV486</f>
        <v>0</v>
      </c>
      <c r="BQ486" s="25">
        <f>BE486*AX486</f>
        <v>0</v>
      </c>
      <c r="BR486" s="26"/>
      <c r="BS486" s="32"/>
    </row>
    <row r="487" spans="1:71" s="6" customFormat="1" ht="41.25" customHeight="1">
      <c r="A487" s="18">
        <v>484</v>
      </c>
      <c r="B487" s="18" t="s">
        <v>58</v>
      </c>
      <c r="C487" s="33" t="s">
        <v>481</v>
      </c>
      <c r="D487" s="75" t="s">
        <v>482</v>
      </c>
      <c r="E487" s="22" t="s">
        <v>1013</v>
      </c>
      <c r="F487" s="75" t="s">
        <v>482</v>
      </c>
      <c r="G487" s="75"/>
      <c r="H487" s="22"/>
      <c r="I487" s="22"/>
      <c r="J487" s="22"/>
      <c r="K487" s="22"/>
      <c r="L487" s="22"/>
      <c r="M487" s="22"/>
      <c r="N487" s="22" t="s">
        <v>1017</v>
      </c>
      <c r="O487" s="23"/>
      <c r="P487" s="18" t="s">
        <v>56</v>
      </c>
      <c r="Q487" s="72"/>
      <c r="R487" s="72"/>
      <c r="S487" s="35">
        <v>5</v>
      </c>
      <c r="T487" s="26"/>
      <c r="U487" s="26"/>
      <c r="V487" s="35"/>
      <c r="W487" s="154"/>
      <c r="X487" s="35"/>
      <c r="Y487" s="26">
        <f>T487+R487+Q487+U487+W487</f>
        <v>0</v>
      </c>
      <c r="Z487" s="27">
        <v>5</v>
      </c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>
        <f>SUM(AM487:AS487)</f>
        <v>0</v>
      </c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72">
        <f>Y487-AV487-AX487-AW487</f>
        <v>0</v>
      </c>
      <c r="AZ487" s="68"/>
      <c r="BA487" s="26">
        <f>AL487+AG487+AA487+AT487</f>
        <v>0</v>
      </c>
      <c r="BB487" s="30">
        <f>BD487+AO487+AG487</f>
        <v>0</v>
      </c>
      <c r="BC487" s="30">
        <f>BD487+AS487</f>
        <v>0</v>
      </c>
      <c r="BD487" s="30">
        <f>IF(BA487&gt;0,Y487-BA487,BA487)</f>
        <v>0</v>
      </c>
      <c r="BE487" s="31">
        <v>747.9</v>
      </c>
      <c r="BF487" s="30" t="s">
        <v>57</v>
      </c>
      <c r="BG487" s="31">
        <f>BE487*Q487</f>
        <v>0</v>
      </c>
      <c r="BH487" s="31">
        <f>BE487*R487*0.4</f>
        <v>0</v>
      </c>
      <c r="BI487" s="142"/>
      <c r="BJ487" s="142"/>
      <c r="BK487" s="32">
        <f>Y487*BE487</f>
        <v>0</v>
      </c>
      <c r="BL487" s="35"/>
      <c r="BM487" s="35"/>
      <c r="BN487" s="35"/>
      <c r="BO487" s="35"/>
      <c r="BP487" s="25">
        <f>BE487*AV487</f>
        <v>0</v>
      </c>
      <c r="BQ487" s="25">
        <f>BE487*AX487</f>
        <v>0</v>
      </c>
      <c r="BR487" s="26"/>
      <c r="BS487" s="32"/>
    </row>
    <row r="488" spans="1:71" s="6" customFormat="1" ht="41.25" customHeight="1">
      <c r="A488" s="18">
        <v>485</v>
      </c>
      <c r="B488" s="18" t="s">
        <v>58</v>
      </c>
      <c r="C488" s="33" t="s">
        <v>481</v>
      </c>
      <c r="D488" s="75" t="s">
        <v>482</v>
      </c>
      <c r="E488" s="22" t="s">
        <v>1013</v>
      </c>
      <c r="F488" s="75" t="s">
        <v>482</v>
      </c>
      <c r="G488" s="75"/>
      <c r="H488" s="22"/>
      <c r="I488" s="22"/>
      <c r="J488" s="22"/>
      <c r="K488" s="22"/>
      <c r="L488" s="22"/>
      <c r="M488" s="22"/>
      <c r="N488" s="22" t="s">
        <v>1018</v>
      </c>
      <c r="O488" s="23"/>
      <c r="P488" s="18" t="s">
        <v>56</v>
      </c>
      <c r="Q488" s="72"/>
      <c r="R488" s="72"/>
      <c r="S488" s="35">
        <v>5</v>
      </c>
      <c r="T488" s="26"/>
      <c r="U488" s="26"/>
      <c r="V488" s="35"/>
      <c r="W488" s="154"/>
      <c r="X488" s="35"/>
      <c r="Y488" s="26">
        <f>T488+R488+Q488+U488+W488</f>
        <v>0</v>
      </c>
      <c r="Z488" s="27">
        <v>5</v>
      </c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>
        <f>SUM(AM488:AS488)</f>
        <v>0</v>
      </c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72">
        <f>Y488-AV488-AX488-AW488</f>
        <v>0</v>
      </c>
      <c r="AZ488" s="68"/>
      <c r="BA488" s="26">
        <f>AL488+AG488+AA488+AT488</f>
        <v>0</v>
      </c>
      <c r="BB488" s="30">
        <f>BD488+AO488+AG488</f>
        <v>0</v>
      </c>
      <c r="BC488" s="30">
        <f>BD488+AS488</f>
        <v>0</v>
      </c>
      <c r="BD488" s="30">
        <f>IF(BA488&gt;0,Y488-BA488,BA488)</f>
        <v>0</v>
      </c>
      <c r="BE488" s="31">
        <v>747.9</v>
      </c>
      <c r="BF488" s="30" t="s">
        <v>57</v>
      </c>
      <c r="BG488" s="31">
        <f>BE488*Q488</f>
        <v>0</v>
      </c>
      <c r="BH488" s="31">
        <f>BE488*R488*0.4</f>
        <v>0</v>
      </c>
      <c r="BI488" s="142"/>
      <c r="BJ488" s="142"/>
      <c r="BK488" s="32">
        <f>Y488*BE488</f>
        <v>0</v>
      </c>
      <c r="BL488" s="35"/>
      <c r="BM488" s="35"/>
      <c r="BN488" s="35"/>
      <c r="BO488" s="35"/>
      <c r="BP488" s="25">
        <f>BE488*AV488</f>
        <v>0</v>
      </c>
      <c r="BQ488" s="25">
        <f>BE488*AX488</f>
        <v>0</v>
      </c>
      <c r="BR488" s="26"/>
      <c r="BS488" s="32"/>
    </row>
    <row r="489" spans="1:71" s="6" customFormat="1" ht="41.25" customHeight="1">
      <c r="A489" s="18">
        <v>486</v>
      </c>
      <c r="B489" s="18" t="s">
        <v>58</v>
      </c>
      <c r="C489" s="33" t="s">
        <v>481</v>
      </c>
      <c r="D489" s="75" t="s">
        <v>482</v>
      </c>
      <c r="E489" s="22" t="s">
        <v>1013</v>
      </c>
      <c r="F489" s="75" t="s">
        <v>482</v>
      </c>
      <c r="G489" s="75"/>
      <c r="H489" s="22"/>
      <c r="I489" s="22"/>
      <c r="J489" s="22"/>
      <c r="K489" s="22"/>
      <c r="L489" s="22"/>
      <c r="M489" s="22"/>
      <c r="N489" s="22" t="s">
        <v>1019</v>
      </c>
      <c r="O489" s="23"/>
      <c r="P489" s="18" t="s">
        <v>56</v>
      </c>
      <c r="Q489" s="72"/>
      <c r="R489" s="72"/>
      <c r="S489" s="35">
        <v>5</v>
      </c>
      <c r="T489" s="26"/>
      <c r="U489" s="26"/>
      <c r="V489" s="35"/>
      <c r="W489" s="154"/>
      <c r="X489" s="35"/>
      <c r="Y489" s="26">
        <f>T489+R489+Q489+U489+W489</f>
        <v>0</v>
      </c>
      <c r="Z489" s="27">
        <v>5</v>
      </c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>
        <f>SUM(AM489:AS489)</f>
        <v>0</v>
      </c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72">
        <f>Y489-AV489-AX489-AW489</f>
        <v>0</v>
      </c>
      <c r="AZ489" s="68"/>
      <c r="BA489" s="26">
        <f>AL489+AG489+AA489+AT489</f>
        <v>0</v>
      </c>
      <c r="BB489" s="30">
        <f>BD489+AO489+AG489</f>
        <v>0</v>
      </c>
      <c r="BC489" s="30">
        <f>BD489+AS489</f>
        <v>0</v>
      </c>
      <c r="BD489" s="30">
        <f>IF(BA489&gt;0,Y489-BA489,BA489)</f>
        <v>0</v>
      </c>
      <c r="BE489" s="31">
        <v>747.9</v>
      </c>
      <c r="BF489" s="30" t="s">
        <v>57</v>
      </c>
      <c r="BG489" s="31">
        <f>BE489*Q489</f>
        <v>0</v>
      </c>
      <c r="BH489" s="31">
        <f>BE489*R489*0.4</f>
        <v>0</v>
      </c>
      <c r="BI489" s="142"/>
      <c r="BJ489" s="142"/>
      <c r="BK489" s="32">
        <f>Y489*BE489</f>
        <v>0</v>
      </c>
      <c r="BL489" s="35"/>
      <c r="BM489" s="35"/>
      <c r="BN489" s="35"/>
      <c r="BO489" s="35"/>
      <c r="BP489" s="25">
        <f>BE489*AV489</f>
        <v>0</v>
      </c>
      <c r="BQ489" s="25">
        <f>BE489*AX489</f>
        <v>0</v>
      </c>
      <c r="BR489" s="26"/>
      <c r="BS489" s="32"/>
    </row>
    <row r="490" spans="1:71" s="6" customFormat="1" ht="41.25" customHeight="1">
      <c r="A490" s="18">
        <v>487</v>
      </c>
      <c r="B490" s="18" t="s">
        <v>58</v>
      </c>
      <c r="C490" s="33" t="s">
        <v>481</v>
      </c>
      <c r="D490" s="75" t="s">
        <v>482</v>
      </c>
      <c r="E490" s="22" t="s">
        <v>1020</v>
      </c>
      <c r="F490" s="75" t="s">
        <v>482</v>
      </c>
      <c r="G490" s="75"/>
      <c r="H490" s="22"/>
      <c r="I490" s="22"/>
      <c r="J490" s="22"/>
      <c r="K490" s="22"/>
      <c r="L490" s="22"/>
      <c r="M490" s="22"/>
      <c r="N490" s="22" t="s">
        <v>1021</v>
      </c>
      <c r="O490" s="23"/>
      <c r="P490" s="18" t="s">
        <v>56</v>
      </c>
      <c r="Q490" s="29">
        <v>30</v>
      </c>
      <c r="R490" s="72"/>
      <c r="S490" s="35">
        <v>5</v>
      </c>
      <c r="T490" s="26"/>
      <c r="U490" s="26"/>
      <c r="V490" s="35"/>
      <c r="W490" s="154"/>
      <c r="X490" s="35"/>
      <c r="Y490" s="53">
        <f>T490+R490+Q490+U490+W490</f>
        <v>30</v>
      </c>
      <c r="Z490" s="27">
        <v>5</v>
      </c>
      <c r="AA490" s="26"/>
      <c r="AB490" s="26"/>
      <c r="AC490" s="26"/>
      <c r="AD490" s="26"/>
      <c r="AE490" s="26"/>
      <c r="AF490" s="26"/>
      <c r="AG490" s="57">
        <f>SUBTOTAL(9,AH490:AK490)</f>
        <v>28</v>
      </c>
      <c r="AH490" s="26"/>
      <c r="AI490" s="26"/>
      <c r="AJ490" s="57">
        <v>28</v>
      </c>
      <c r="AK490" s="26"/>
      <c r="AL490" s="26">
        <f>SUM(AM490:AS490)</f>
        <v>0</v>
      </c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9">
        <f>Y490-AV490-AX490-AW490</f>
        <v>30</v>
      </c>
      <c r="AZ490" s="29"/>
      <c r="BA490" s="26">
        <f>AL490+AG490+AA490+AT490</f>
        <v>28</v>
      </c>
      <c r="BB490" s="30">
        <f>BD490+AO490+AG490</f>
        <v>30</v>
      </c>
      <c r="BC490" s="30">
        <f>BD490+AS490</f>
        <v>2</v>
      </c>
      <c r="BD490" s="30">
        <f>IF(BA490&gt;0,Y490-BA490,BA490)</f>
        <v>2</v>
      </c>
      <c r="BE490" s="31">
        <v>747.9</v>
      </c>
      <c r="BF490" s="30" t="s">
        <v>57</v>
      </c>
      <c r="BG490" s="31">
        <f>BE490*Q490</f>
        <v>22437</v>
      </c>
      <c r="BH490" s="31">
        <f>BE490*R490*0.4</f>
        <v>0</v>
      </c>
      <c r="BI490" s="142"/>
      <c r="BJ490" s="142"/>
      <c r="BK490" s="32">
        <f>Y490*BE490</f>
        <v>22437</v>
      </c>
      <c r="BL490" s="35"/>
      <c r="BM490" s="35"/>
      <c r="BN490" s="35"/>
      <c r="BO490" s="35"/>
      <c r="BP490" s="25">
        <f>BE490*AV490</f>
        <v>0</v>
      </c>
      <c r="BQ490" s="25">
        <f>BE490*AX490</f>
        <v>0</v>
      </c>
      <c r="BR490" s="26"/>
      <c r="BS490" s="32"/>
    </row>
    <row r="491" spans="1:71" s="6" customFormat="1" ht="41.25" customHeight="1">
      <c r="A491" s="18">
        <v>488</v>
      </c>
      <c r="B491" s="18" t="s">
        <v>58</v>
      </c>
      <c r="C491" s="33" t="s">
        <v>481</v>
      </c>
      <c r="D491" s="75" t="s">
        <v>482</v>
      </c>
      <c r="E491" s="22" t="s">
        <v>1020</v>
      </c>
      <c r="F491" s="75" t="s">
        <v>482</v>
      </c>
      <c r="G491" s="75"/>
      <c r="H491" s="22"/>
      <c r="I491" s="22"/>
      <c r="J491" s="22"/>
      <c r="K491" s="22"/>
      <c r="L491" s="22"/>
      <c r="M491" s="22"/>
      <c r="N491" s="22" t="s">
        <v>1022</v>
      </c>
      <c r="O491" s="23"/>
      <c r="P491" s="18" t="s">
        <v>56</v>
      </c>
      <c r="Q491" s="72"/>
      <c r="R491" s="72"/>
      <c r="S491" s="35">
        <v>5</v>
      </c>
      <c r="T491" s="26"/>
      <c r="U491" s="26"/>
      <c r="V491" s="35"/>
      <c r="W491" s="154"/>
      <c r="X491" s="35"/>
      <c r="Y491" s="26">
        <f>T491+R491+Q491+U491+W491</f>
        <v>0</v>
      </c>
      <c r="Z491" s="27">
        <v>5</v>
      </c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>
        <f>SUM(AM491:AS491)</f>
        <v>0</v>
      </c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72">
        <f>Y491-AV491-AX491-AW491</f>
        <v>0</v>
      </c>
      <c r="AZ491" s="68"/>
      <c r="BA491" s="26">
        <f>AL491+AG491+AA491+AT491</f>
        <v>0</v>
      </c>
      <c r="BB491" s="30">
        <f>BD491+AO491+AG491</f>
        <v>0</v>
      </c>
      <c r="BC491" s="30">
        <f>BD491+AS491</f>
        <v>0</v>
      </c>
      <c r="BD491" s="30">
        <f>IF(BA491&gt;0,Y491-BA491,BA491)</f>
        <v>0</v>
      </c>
      <c r="BE491" s="31">
        <v>747.9</v>
      </c>
      <c r="BF491" s="30" t="s">
        <v>57</v>
      </c>
      <c r="BG491" s="31">
        <f>BE491*Q491</f>
        <v>0</v>
      </c>
      <c r="BH491" s="31">
        <f>BE491*R491*0.4</f>
        <v>0</v>
      </c>
      <c r="BI491" s="142"/>
      <c r="BJ491" s="142"/>
      <c r="BK491" s="32">
        <f>Y491*BE491</f>
        <v>0</v>
      </c>
      <c r="BL491" s="35"/>
      <c r="BM491" s="35"/>
      <c r="BN491" s="35"/>
      <c r="BO491" s="35"/>
      <c r="BP491" s="25">
        <f>BE491*AV491</f>
        <v>0</v>
      </c>
      <c r="BQ491" s="25">
        <f>BE491*AX491</f>
        <v>0</v>
      </c>
      <c r="BR491" s="26"/>
      <c r="BS491" s="32"/>
    </row>
    <row r="492" spans="1:71" s="6" customFormat="1" ht="41.25" customHeight="1">
      <c r="A492" s="18">
        <v>489</v>
      </c>
      <c r="B492" s="18" t="s">
        <v>58</v>
      </c>
      <c r="C492" s="33" t="s">
        <v>481</v>
      </c>
      <c r="D492" s="75" t="s">
        <v>482</v>
      </c>
      <c r="E492" s="22" t="s">
        <v>1020</v>
      </c>
      <c r="F492" s="75" t="s">
        <v>482</v>
      </c>
      <c r="G492" s="75"/>
      <c r="H492" s="22"/>
      <c r="I492" s="22"/>
      <c r="J492" s="22"/>
      <c r="K492" s="22"/>
      <c r="L492" s="22"/>
      <c r="M492" s="22"/>
      <c r="N492" s="22" t="s">
        <v>1023</v>
      </c>
      <c r="O492" s="23"/>
      <c r="P492" s="18" t="s">
        <v>56</v>
      </c>
      <c r="Q492" s="29">
        <v>5</v>
      </c>
      <c r="R492" s="72"/>
      <c r="S492" s="35">
        <v>5</v>
      </c>
      <c r="T492" s="26"/>
      <c r="U492" s="26"/>
      <c r="V492" s="35"/>
      <c r="W492" s="154"/>
      <c r="X492" s="35"/>
      <c r="Y492" s="53">
        <f>T492+R492+Q492+U492+W492</f>
        <v>5</v>
      </c>
      <c r="Z492" s="27">
        <v>5</v>
      </c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>
        <f>SUM(AM492:AS492)</f>
        <v>0</v>
      </c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9">
        <f>Y492-AV492-AX492-AW492</f>
        <v>5</v>
      </c>
      <c r="AZ492" s="29"/>
      <c r="BA492" s="26">
        <f>AL492+AG492+AA492+AT492</f>
        <v>0</v>
      </c>
      <c r="BB492" s="30">
        <f>BD492+AO492+AG492</f>
        <v>0</v>
      </c>
      <c r="BC492" s="30">
        <f>BD492+AS492</f>
        <v>0</v>
      </c>
      <c r="BD492" s="30">
        <f>IF(BA492&gt;0,Y492-BA492,BA492)</f>
        <v>0</v>
      </c>
      <c r="BE492" s="31">
        <v>747.9</v>
      </c>
      <c r="BF492" s="30" t="s">
        <v>57</v>
      </c>
      <c r="BG492" s="31">
        <f>BE492*Q492</f>
        <v>3739.5</v>
      </c>
      <c r="BH492" s="31">
        <f>BE492*R492*0.4</f>
        <v>0</v>
      </c>
      <c r="BI492" s="142"/>
      <c r="BJ492" s="142"/>
      <c r="BK492" s="32">
        <f>Y492*BE492</f>
        <v>3739.5</v>
      </c>
      <c r="BL492" s="35"/>
      <c r="BM492" s="35"/>
      <c r="BN492" s="35"/>
      <c r="BO492" s="35"/>
      <c r="BP492" s="25">
        <f>BE492*AV492</f>
        <v>0</v>
      </c>
      <c r="BQ492" s="25">
        <f>BE492*AX492</f>
        <v>0</v>
      </c>
      <c r="BR492" s="26"/>
      <c r="BS492" s="32"/>
    </row>
    <row r="493" spans="1:71" s="6" customFormat="1" ht="41.25" customHeight="1">
      <c r="A493" s="18">
        <v>490</v>
      </c>
      <c r="B493" s="18" t="s">
        <v>58</v>
      </c>
      <c r="C493" s="33" t="s">
        <v>481</v>
      </c>
      <c r="D493" s="75" t="s">
        <v>482</v>
      </c>
      <c r="E493" s="22" t="s">
        <v>1020</v>
      </c>
      <c r="F493" s="75" t="s">
        <v>482</v>
      </c>
      <c r="G493" s="75"/>
      <c r="H493" s="22"/>
      <c r="I493" s="22"/>
      <c r="J493" s="22"/>
      <c r="K493" s="22"/>
      <c r="L493" s="22"/>
      <c r="M493" s="22"/>
      <c r="N493" s="22" t="s">
        <v>1024</v>
      </c>
      <c r="O493" s="23"/>
      <c r="P493" s="18" t="s">
        <v>56</v>
      </c>
      <c r="Q493" s="29">
        <v>100</v>
      </c>
      <c r="R493" s="72"/>
      <c r="S493" s="35">
        <v>5</v>
      </c>
      <c r="T493" s="26"/>
      <c r="U493" s="26"/>
      <c r="V493" s="35"/>
      <c r="W493" s="154"/>
      <c r="X493" s="35"/>
      <c r="Y493" s="53">
        <f>T493+R493+Q493+U493+W493</f>
        <v>100</v>
      </c>
      <c r="Z493" s="27">
        <v>5</v>
      </c>
      <c r="AA493" s="26"/>
      <c r="AB493" s="26"/>
      <c r="AC493" s="26"/>
      <c r="AD493" s="26"/>
      <c r="AE493" s="26"/>
      <c r="AF493" s="26"/>
      <c r="AG493" s="57">
        <f>SUBTOTAL(9,AH493:AK493)</f>
        <v>23</v>
      </c>
      <c r="AH493" s="26"/>
      <c r="AI493" s="26"/>
      <c r="AJ493" s="57">
        <v>23</v>
      </c>
      <c r="AK493" s="26"/>
      <c r="AL493" s="26">
        <f>SUM(AM493:AS493)</f>
        <v>0</v>
      </c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9">
        <f>Y493-AV493-AX493-AW493</f>
        <v>100</v>
      </c>
      <c r="AZ493" s="29">
        <f ca="1">'Layout for shadhous 1&amp;2'!I72</f>
        <v>100</v>
      </c>
      <c r="BA493" s="26">
        <f>AL493+AG493+AA493+AT493</f>
        <v>23</v>
      </c>
      <c r="BB493" s="30">
        <f>BD493+AO493+AG493</f>
        <v>100</v>
      </c>
      <c r="BC493" s="30">
        <f>BD493+AS493</f>
        <v>77</v>
      </c>
      <c r="BD493" s="30">
        <f>IF(BA493&gt;0,Y493-BA493,BA493)</f>
        <v>77</v>
      </c>
      <c r="BE493" s="31">
        <v>747.9</v>
      </c>
      <c r="BF493" s="30" t="s">
        <v>57</v>
      </c>
      <c r="BG493" s="31">
        <f>BE493*Q493</f>
        <v>74790</v>
      </c>
      <c r="BH493" s="31">
        <f>BE493*R493*0.4</f>
        <v>0</v>
      </c>
      <c r="BI493" s="142"/>
      <c r="BJ493" s="142"/>
      <c r="BK493" s="32">
        <f>Y493*BE493</f>
        <v>74790</v>
      </c>
      <c r="BL493" s="35"/>
      <c r="BM493" s="35"/>
      <c r="BN493" s="35"/>
      <c r="BO493" s="35"/>
      <c r="BP493" s="25">
        <f>BE493*AV493</f>
        <v>0</v>
      </c>
      <c r="BQ493" s="25">
        <f>BE493*AX493</f>
        <v>0</v>
      </c>
      <c r="BR493" s="26"/>
      <c r="BS493" s="32"/>
    </row>
    <row r="494" spans="1:71" s="6" customFormat="1" ht="41.25" customHeight="1">
      <c r="A494" s="18">
        <v>491</v>
      </c>
      <c r="B494" s="18" t="s">
        <v>58</v>
      </c>
      <c r="C494" s="33" t="s">
        <v>481</v>
      </c>
      <c r="D494" s="75" t="s">
        <v>482</v>
      </c>
      <c r="E494" s="22" t="s">
        <v>1020</v>
      </c>
      <c r="F494" s="75" t="s">
        <v>482</v>
      </c>
      <c r="G494" s="75"/>
      <c r="H494" s="22"/>
      <c r="I494" s="22"/>
      <c r="J494" s="22"/>
      <c r="K494" s="22"/>
      <c r="L494" s="22"/>
      <c r="M494" s="22"/>
      <c r="N494" s="22" t="s">
        <v>1025</v>
      </c>
      <c r="O494" s="23"/>
      <c r="P494" s="18" t="s">
        <v>56</v>
      </c>
      <c r="Q494" s="72"/>
      <c r="R494" s="72"/>
      <c r="S494" s="35">
        <v>5</v>
      </c>
      <c r="T494" s="26"/>
      <c r="U494" s="26"/>
      <c r="V494" s="35"/>
      <c r="W494" s="154"/>
      <c r="X494" s="35"/>
      <c r="Y494" s="26">
        <f>T494+R494+Q494+U494+W494</f>
        <v>0</v>
      </c>
      <c r="Z494" s="27">
        <v>5</v>
      </c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>
        <f>SUM(AM494:AS494)</f>
        <v>0</v>
      </c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72">
        <f>Y494-AV494-AX494-AW494</f>
        <v>0</v>
      </c>
      <c r="AZ494" s="68"/>
      <c r="BA494" s="26">
        <f>AL494+AG494+AA494+AT494</f>
        <v>0</v>
      </c>
      <c r="BB494" s="30">
        <f>BD494+AO494+AG494</f>
        <v>0</v>
      </c>
      <c r="BC494" s="30">
        <f>BD494+AS494</f>
        <v>0</v>
      </c>
      <c r="BD494" s="30">
        <f>IF(BA494&gt;0,Y494-BA494,BA494)</f>
        <v>0</v>
      </c>
      <c r="BE494" s="31">
        <v>747.9</v>
      </c>
      <c r="BF494" s="30" t="s">
        <v>57</v>
      </c>
      <c r="BG494" s="31">
        <f>BE494*Q494</f>
        <v>0</v>
      </c>
      <c r="BH494" s="31">
        <f>BE494*R494*0.4</f>
        <v>0</v>
      </c>
      <c r="BI494" s="142"/>
      <c r="BJ494" s="142"/>
      <c r="BK494" s="32">
        <f>Y494*BE494</f>
        <v>0</v>
      </c>
      <c r="BL494" s="35"/>
      <c r="BM494" s="35"/>
      <c r="BN494" s="35"/>
      <c r="BO494" s="35"/>
      <c r="BP494" s="25">
        <f>BE494*AV494</f>
        <v>0</v>
      </c>
      <c r="BQ494" s="25">
        <f>BE494*AX494</f>
        <v>0</v>
      </c>
      <c r="BR494" s="26"/>
      <c r="BS494" s="32"/>
    </row>
    <row r="495" spans="1:71" s="6" customFormat="1" ht="41.25" customHeight="1">
      <c r="A495" s="18">
        <v>492</v>
      </c>
      <c r="B495" s="18" t="s">
        <v>58</v>
      </c>
      <c r="C495" s="33" t="s">
        <v>481</v>
      </c>
      <c r="D495" s="75" t="s">
        <v>482</v>
      </c>
      <c r="E495" s="22" t="s">
        <v>1020</v>
      </c>
      <c r="F495" s="75" t="s">
        <v>482</v>
      </c>
      <c r="G495" s="75"/>
      <c r="H495" s="22"/>
      <c r="I495" s="22"/>
      <c r="J495" s="22"/>
      <c r="K495" s="22"/>
      <c r="L495" s="22"/>
      <c r="M495" s="22"/>
      <c r="N495" s="22" t="s">
        <v>1026</v>
      </c>
      <c r="O495" s="23"/>
      <c r="P495" s="18" t="s">
        <v>56</v>
      </c>
      <c r="Q495" s="72"/>
      <c r="R495" s="72"/>
      <c r="S495" s="35">
        <v>5</v>
      </c>
      <c r="T495" s="26"/>
      <c r="U495" s="26"/>
      <c r="V495" s="35"/>
      <c r="W495" s="154"/>
      <c r="X495" s="35"/>
      <c r="Y495" s="26">
        <f>T495+R495+Q495+U495+W495</f>
        <v>0</v>
      </c>
      <c r="Z495" s="27">
        <v>5</v>
      </c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>
        <f>SUM(AM495:AS495)</f>
        <v>0</v>
      </c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72">
        <f>Y495-AV495-AX495-AW495</f>
        <v>0</v>
      </c>
      <c r="AZ495" s="68"/>
      <c r="BA495" s="26">
        <f>AL495+AG495+AA495+AT495</f>
        <v>0</v>
      </c>
      <c r="BB495" s="30">
        <f>BD495+AO495+AG495</f>
        <v>0</v>
      </c>
      <c r="BC495" s="30">
        <f>BD495+AS495</f>
        <v>0</v>
      </c>
      <c r="BD495" s="30">
        <f>IF(BA495&gt;0,Y495-BA495,BA495)</f>
        <v>0</v>
      </c>
      <c r="BE495" s="31">
        <v>747.9</v>
      </c>
      <c r="BF495" s="30" t="s">
        <v>57</v>
      </c>
      <c r="BG495" s="31">
        <f>BE495*Q495</f>
        <v>0</v>
      </c>
      <c r="BH495" s="31">
        <f>BE495*R495*0.4</f>
        <v>0</v>
      </c>
      <c r="BI495" s="142"/>
      <c r="BJ495" s="142"/>
      <c r="BK495" s="32">
        <f>Y495*BE495</f>
        <v>0</v>
      </c>
      <c r="BL495" s="35"/>
      <c r="BM495" s="35"/>
      <c r="BN495" s="35"/>
      <c r="BO495" s="35"/>
      <c r="BP495" s="25">
        <f>BE495*AV495</f>
        <v>0</v>
      </c>
      <c r="BQ495" s="25">
        <f>BE495*AX495</f>
        <v>0</v>
      </c>
      <c r="BR495" s="26"/>
      <c r="BS495" s="32"/>
    </row>
    <row r="496" spans="1:71" s="6" customFormat="1" ht="41.25" customHeight="1">
      <c r="A496" s="18">
        <v>493</v>
      </c>
      <c r="B496" s="18" t="s">
        <v>58</v>
      </c>
      <c r="C496" s="33" t="s">
        <v>481</v>
      </c>
      <c r="D496" s="75" t="s">
        <v>482</v>
      </c>
      <c r="E496" s="22" t="s">
        <v>1027</v>
      </c>
      <c r="F496" s="75" t="s">
        <v>482</v>
      </c>
      <c r="G496" s="75"/>
      <c r="H496" s="22"/>
      <c r="I496" s="22"/>
      <c r="J496" s="22"/>
      <c r="K496" s="22"/>
      <c r="L496" s="22"/>
      <c r="M496" s="22"/>
      <c r="N496" s="22" t="s">
        <v>1028</v>
      </c>
      <c r="O496" s="23"/>
      <c r="P496" s="18" t="s">
        <v>56</v>
      </c>
      <c r="Q496" s="72"/>
      <c r="R496" s="72"/>
      <c r="S496" s="35">
        <v>5</v>
      </c>
      <c r="T496" s="26"/>
      <c r="U496" s="26"/>
      <c r="V496" s="35"/>
      <c r="W496" s="154"/>
      <c r="X496" s="35"/>
      <c r="Y496" s="26">
        <f>T496+R496+Q496+U496+W496</f>
        <v>0</v>
      </c>
      <c r="Z496" s="27">
        <v>5</v>
      </c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>
        <f>SUM(AM496:AS496)</f>
        <v>0</v>
      </c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72">
        <f>Y496-AV496-AX496-AW496</f>
        <v>0</v>
      </c>
      <c r="AZ496" s="68"/>
      <c r="BA496" s="26">
        <f>AL496+AG496+AA496+AT496</f>
        <v>0</v>
      </c>
      <c r="BB496" s="30">
        <f>BD496+AO496+AG496</f>
        <v>0</v>
      </c>
      <c r="BC496" s="30">
        <f>BD496+AS496</f>
        <v>0</v>
      </c>
      <c r="BD496" s="30">
        <f>IF(BA496&gt;0,Y496-BA496,BA496)</f>
        <v>0</v>
      </c>
      <c r="BE496" s="31">
        <v>747.9</v>
      </c>
      <c r="BF496" s="30" t="s">
        <v>57</v>
      </c>
      <c r="BG496" s="31">
        <f>BE496*Q496</f>
        <v>0</v>
      </c>
      <c r="BH496" s="31">
        <f>BE496*R496*0.4</f>
        <v>0</v>
      </c>
      <c r="BI496" s="142"/>
      <c r="BJ496" s="142"/>
      <c r="BK496" s="32">
        <f>Y496*BE496</f>
        <v>0</v>
      </c>
      <c r="BL496" s="35"/>
      <c r="BM496" s="35"/>
      <c r="BN496" s="35"/>
      <c r="BO496" s="35"/>
      <c r="BP496" s="25">
        <f>BE496*AV496</f>
        <v>0</v>
      </c>
      <c r="BQ496" s="25">
        <f>BE496*AX496</f>
        <v>0</v>
      </c>
      <c r="BR496" s="26"/>
      <c r="BS496" s="32"/>
    </row>
    <row r="497" spans="1:71" s="6" customFormat="1" ht="41.25" customHeight="1">
      <c r="A497" s="18">
        <v>494</v>
      </c>
      <c r="B497" s="18" t="s">
        <v>58</v>
      </c>
      <c r="C497" s="33" t="s">
        <v>481</v>
      </c>
      <c r="D497" s="75" t="s">
        <v>482</v>
      </c>
      <c r="E497" s="22" t="s">
        <v>1027</v>
      </c>
      <c r="F497" s="75" t="s">
        <v>482</v>
      </c>
      <c r="G497" s="75"/>
      <c r="H497" s="22"/>
      <c r="I497" s="22"/>
      <c r="J497" s="22"/>
      <c r="K497" s="22"/>
      <c r="L497" s="22"/>
      <c r="M497" s="22"/>
      <c r="N497" s="22" t="s">
        <v>1029</v>
      </c>
      <c r="O497" s="23"/>
      <c r="P497" s="18" t="s">
        <v>56</v>
      </c>
      <c r="Q497" s="72"/>
      <c r="R497" s="72"/>
      <c r="S497" s="35">
        <v>5</v>
      </c>
      <c r="T497" s="26"/>
      <c r="U497" s="26"/>
      <c r="V497" s="35"/>
      <c r="W497" s="154"/>
      <c r="X497" s="35"/>
      <c r="Y497" s="26">
        <f>T497+R497+Q497+U497+W497</f>
        <v>0</v>
      </c>
      <c r="Z497" s="27">
        <v>5</v>
      </c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>
        <f>SUM(AM497:AS497)</f>
        <v>0</v>
      </c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72">
        <f>Y497-AV497-AX497-AW497</f>
        <v>0</v>
      </c>
      <c r="AZ497" s="68"/>
      <c r="BA497" s="26">
        <f>AL497+AG497+AA497+AT497</f>
        <v>0</v>
      </c>
      <c r="BB497" s="30">
        <f>BD497+AO497+AG497</f>
        <v>0</v>
      </c>
      <c r="BC497" s="30">
        <f>BD497+AS497</f>
        <v>0</v>
      </c>
      <c r="BD497" s="30">
        <f>IF(BA497&gt;0,Y497-BA497,BA497)</f>
        <v>0</v>
      </c>
      <c r="BE497" s="31">
        <v>747.9</v>
      </c>
      <c r="BF497" s="30" t="s">
        <v>57</v>
      </c>
      <c r="BG497" s="31">
        <f>BE497*Q497</f>
        <v>0</v>
      </c>
      <c r="BH497" s="31">
        <f>BE497*R497*0.4</f>
        <v>0</v>
      </c>
      <c r="BI497" s="142"/>
      <c r="BJ497" s="142"/>
      <c r="BK497" s="32">
        <f>Y497*BE497</f>
        <v>0</v>
      </c>
      <c r="BL497" s="35"/>
      <c r="BM497" s="35"/>
      <c r="BN497" s="35"/>
      <c r="BO497" s="35"/>
      <c r="BP497" s="25">
        <f>BE497*AV497</f>
        <v>0</v>
      </c>
      <c r="BQ497" s="25">
        <f>BE497*AX497</f>
        <v>0</v>
      </c>
      <c r="BR497" s="26"/>
      <c r="BS497" s="32"/>
    </row>
    <row r="498" spans="1:71" s="6" customFormat="1" ht="41.25" customHeight="1">
      <c r="A498" s="18">
        <v>495</v>
      </c>
      <c r="B498" s="18" t="s">
        <v>58</v>
      </c>
      <c r="C498" s="33" t="s">
        <v>481</v>
      </c>
      <c r="D498" s="75" t="s">
        <v>482</v>
      </c>
      <c r="E498" s="22" t="s">
        <v>1027</v>
      </c>
      <c r="F498" s="75" t="s">
        <v>482</v>
      </c>
      <c r="G498" s="75"/>
      <c r="H498" s="22"/>
      <c r="I498" s="22"/>
      <c r="J498" s="22"/>
      <c r="K498" s="22"/>
      <c r="L498" s="22"/>
      <c r="M498" s="22"/>
      <c r="N498" s="22" t="s">
        <v>1030</v>
      </c>
      <c r="O498" s="23"/>
      <c r="P498" s="18" t="s">
        <v>56</v>
      </c>
      <c r="Q498" s="72"/>
      <c r="R498" s="72"/>
      <c r="S498" s="35">
        <v>5</v>
      </c>
      <c r="T498" s="26"/>
      <c r="U498" s="26"/>
      <c r="V498" s="35"/>
      <c r="W498" s="154"/>
      <c r="X498" s="35"/>
      <c r="Y498" s="26">
        <f>T498+R498+Q498+U498+W498</f>
        <v>0</v>
      </c>
      <c r="Z498" s="27">
        <v>5</v>
      </c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>
        <f>SUM(AM498:AS498)</f>
        <v>0</v>
      </c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72">
        <f>Y498-AV498-AX498-AW498</f>
        <v>0</v>
      </c>
      <c r="AZ498" s="68"/>
      <c r="BA498" s="26">
        <f>AL498+AG498+AA498+AT498</f>
        <v>0</v>
      </c>
      <c r="BB498" s="30">
        <f>BD498+AO498+AG498</f>
        <v>0</v>
      </c>
      <c r="BC498" s="30">
        <f>BD498+AS498</f>
        <v>0</v>
      </c>
      <c r="BD498" s="30">
        <f>IF(BA498&gt;0,Y498-BA498,BA498)</f>
        <v>0</v>
      </c>
      <c r="BE498" s="31">
        <v>747.9</v>
      </c>
      <c r="BF498" s="30" t="s">
        <v>57</v>
      </c>
      <c r="BG498" s="31">
        <f>BE498*Q498</f>
        <v>0</v>
      </c>
      <c r="BH498" s="31">
        <f>BE498*R498*0.4</f>
        <v>0</v>
      </c>
      <c r="BI498" s="142"/>
      <c r="BJ498" s="142"/>
      <c r="BK498" s="32">
        <f>Y498*BE498</f>
        <v>0</v>
      </c>
      <c r="BL498" s="35"/>
      <c r="BM498" s="35"/>
      <c r="BN498" s="35"/>
      <c r="BO498" s="35"/>
      <c r="BP498" s="25">
        <f>BE498*AV498</f>
        <v>0</v>
      </c>
      <c r="BQ498" s="25">
        <f>BE498*AX498</f>
        <v>0</v>
      </c>
      <c r="BR498" s="26"/>
      <c r="BS498" s="32"/>
    </row>
    <row r="499" spans="1:71" s="6" customFormat="1" ht="41.25" customHeight="1">
      <c r="A499" s="18">
        <v>496</v>
      </c>
      <c r="B499" s="18" t="s">
        <v>58</v>
      </c>
      <c r="C499" s="33" t="s">
        <v>481</v>
      </c>
      <c r="D499" s="75" t="s">
        <v>482</v>
      </c>
      <c r="E499" s="22" t="s">
        <v>1027</v>
      </c>
      <c r="F499" s="75" t="s">
        <v>482</v>
      </c>
      <c r="G499" s="75"/>
      <c r="H499" s="22"/>
      <c r="I499" s="22"/>
      <c r="J499" s="22"/>
      <c r="K499" s="22"/>
      <c r="L499" s="22"/>
      <c r="M499" s="22"/>
      <c r="N499" s="22" t="s">
        <v>1031</v>
      </c>
      <c r="O499" s="23"/>
      <c r="P499" s="18" t="s">
        <v>56</v>
      </c>
      <c r="Q499" s="72"/>
      <c r="R499" s="72"/>
      <c r="S499" s="35">
        <v>5</v>
      </c>
      <c r="T499" s="26"/>
      <c r="U499" s="26"/>
      <c r="V499" s="35"/>
      <c r="W499" s="154"/>
      <c r="X499" s="35"/>
      <c r="Y499" s="26">
        <f>T499+R499+Q499+U499+W499</f>
        <v>0</v>
      </c>
      <c r="Z499" s="27">
        <v>5</v>
      </c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>
        <f>SUM(AM499:AS499)</f>
        <v>0</v>
      </c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72">
        <f>Y499-AV499-AX499-AW499</f>
        <v>0</v>
      </c>
      <c r="AZ499" s="68"/>
      <c r="BA499" s="26">
        <f>AL499+AG499+AA499+AT499</f>
        <v>0</v>
      </c>
      <c r="BB499" s="30">
        <f>BD499+AO499+AG499</f>
        <v>0</v>
      </c>
      <c r="BC499" s="30">
        <f>BD499+AS499</f>
        <v>0</v>
      </c>
      <c r="BD499" s="30">
        <f>IF(BA499&gt;0,Y499-BA499,BA499)</f>
        <v>0</v>
      </c>
      <c r="BE499" s="31">
        <v>747.9</v>
      </c>
      <c r="BF499" s="30" t="s">
        <v>57</v>
      </c>
      <c r="BG499" s="31">
        <f>BE499*Q499</f>
        <v>0</v>
      </c>
      <c r="BH499" s="31">
        <f>BE499*R499*0.4</f>
        <v>0</v>
      </c>
      <c r="BI499" s="142"/>
      <c r="BJ499" s="142"/>
      <c r="BK499" s="32">
        <f>Y499*BE499</f>
        <v>0</v>
      </c>
      <c r="BL499" s="35"/>
      <c r="BM499" s="35"/>
      <c r="BN499" s="35"/>
      <c r="BO499" s="35"/>
      <c r="BP499" s="25">
        <f>BE499*AV499</f>
        <v>0</v>
      </c>
      <c r="BQ499" s="25">
        <f>BE499*AX499</f>
        <v>0</v>
      </c>
      <c r="BR499" s="26"/>
      <c r="BS499" s="32"/>
    </row>
    <row r="500" spans="1:71" s="6" customFormat="1" ht="41.25" customHeight="1">
      <c r="A500" s="18">
        <v>497</v>
      </c>
      <c r="B500" s="18" t="s">
        <v>58</v>
      </c>
      <c r="C500" s="33" t="s">
        <v>481</v>
      </c>
      <c r="D500" s="75" t="s">
        <v>482</v>
      </c>
      <c r="E500" s="22" t="s">
        <v>1027</v>
      </c>
      <c r="F500" s="75" t="s">
        <v>482</v>
      </c>
      <c r="G500" s="75"/>
      <c r="H500" s="22"/>
      <c r="I500" s="22"/>
      <c r="J500" s="22"/>
      <c r="K500" s="22"/>
      <c r="L500" s="22"/>
      <c r="M500" s="22"/>
      <c r="N500" s="22" t="s">
        <v>1032</v>
      </c>
      <c r="O500" s="23"/>
      <c r="P500" s="18" t="s">
        <v>56</v>
      </c>
      <c r="Q500" s="72"/>
      <c r="R500" s="72"/>
      <c r="S500" s="35">
        <v>5</v>
      </c>
      <c r="T500" s="26"/>
      <c r="U500" s="26"/>
      <c r="V500" s="35"/>
      <c r="W500" s="154"/>
      <c r="X500" s="35"/>
      <c r="Y500" s="26">
        <f>T500+R500+Q500+U500+W500</f>
        <v>0</v>
      </c>
      <c r="Z500" s="27">
        <v>5</v>
      </c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>
        <f>SUM(AM500:AS500)</f>
        <v>0</v>
      </c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72">
        <f>Y500-AV500-AX500-AW500</f>
        <v>0</v>
      </c>
      <c r="AZ500" s="68"/>
      <c r="BA500" s="26">
        <f>AL500+AG500+AA500+AT500</f>
        <v>0</v>
      </c>
      <c r="BB500" s="30">
        <f>BD500+AO500+AG500</f>
        <v>0</v>
      </c>
      <c r="BC500" s="30">
        <f>BD500+AS500</f>
        <v>0</v>
      </c>
      <c r="BD500" s="30">
        <f>IF(BA500&gt;0,Y500-BA500,BA500)</f>
        <v>0</v>
      </c>
      <c r="BE500" s="31">
        <v>747.9</v>
      </c>
      <c r="BF500" s="30" t="s">
        <v>57</v>
      </c>
      <c r="BG500" s="31">
        <f>BE500*Q500</f>
        <v>0</v>
      </c>
      <c r="BH500" s="31">
        <f>BE500*R500*0.4</f>
        <v>0</v>
      </c>
      <c r="BI500" s="142"/>
      <c r="BJ500" s="142"/>
      <c r="BK500" s="32">
        <f>Y500*BE500</f>
        <v>0</v>
      </c>
      <c r="BL500" s="35"/>
      <c r="BM500" s="35"/>
      <c r="BN500" s="35"/>
      <c r="BO500" s="35"/>
      <c r="BP500" s="25">
        <f>BE500*AV500</f>
        <v>0</v>
      </c>
      <c r="BQ500" s="25">
        <f>BE500*AX500</f>
        <v>0</v>
      </c>
      <c r="BR500" s="26"/>
      <c r="BS500" s="32"/>
    </row>
    <row r="501" spans="1:71" s="6" customFormat="1" ht="41.25" customHeight="1">
      <c r="A501" s="18">
        <v>498</v>
      </c>
      <c r="B501" s="18" t="s">
        <v>58</v>
      </c>
      <c r="C501" s="33" t="s">
        <v>481</v>
      </c>
      <c r="D501" s="75" t="s">
        <v>482</v>
      </c>
      <c r="E501" s="22" t="s">
        <v>1027</v>
      </c>
      <c r="F501" s="75" t="s">
        <v>482</v>
      </c>
      <c r="G501" s="75"/>
      <c r="H501" s="22"/>
      <c r="I501" s="22"/>
      <c r="J501" s="22"/>
      <c r="K501" s="22"/>
      <c r="L501" s="22"/>
      <c r="M501" s="22"/>
      <c r="N501" s="22" t="s">
        <v>1033</v>
      </c>
      <c r="O501" s="23"/>
      <c r="P501" s="18" t="s">
        <v>56</v>
      </c>
      <c r="Q501" s="29">
        <v>5</v>
      </c>
      <c r="R501" s="72"/>
      <c r="S501" s="35">
        <v>5</v>
      </c>
      <c r="T501" s="26"/>
      <c r="U501" s="26"/>
      <c r="V501" s="35"/>
      <c r="W501" s="154"/>
      <c r="X501" s="35"/>
      <c r="Y501" s="53">
        <f>T501+R501+Q501+U501+W501</f>
        <v>5</v>
      </c>
      <c r="Z501" s="27">
        <v>5</v>
      </c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>
        <f>SUM(AM501:AS501)</f>
        <v>0</v>
      </c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9">
        <f>Y501-AV501-AX501-AW501</f>
        <v>5</v>
      </c>
      <c r="AZ501" s="29"/>
      <c r="BA501" s="26">
        <f>AL501+AG501+AA501+AT501</f>
        <v>0</v>
      </c>
      <c r="BB501" s="30">
        <f>BD501+AO501+AG501</f>
        <v>0</v>
      </c>
      <c r="BC501" s="30">
        <f>BD501+AS501</f>
        <v>0</v>
      </c>
      <c r="BD501" s="30">
        <f>IF(BA501&gt;0,Y501-BA501,BA501)</f>
        <v>0</v>
      </c>
      <c r="BE501" s="31">
        <v>747.9</v>
      </c>
      <c r="BF501" s="30" t="s">
        <v>57</v>
      </c>
      <c r="BG501" s="31">
        <f>BE501*Q501</f>
        <v>3739.5</v>
      </c>
      <c r="BH501" s="31">
        <f>BE501*R501*0.4</f>
        <v>0</v>
      </c>
      <c r="BI501" s="31"/>
      <c r="BJ501" s="31"/>
      <c r="BK501" s="32">
        <f>Y501*BE501</f>
        <v>3739.5</v>
      </c>
      <c r="BL501" s="35"/>
      <c r="BM501" s="35"/>
      <c r="BN501" s="35"/>
      <c r="BO501" s="35"/>
      <c r="BP501" s="25">
        <f>BE501*AV501</f>
        <v>0</v>
      </c>
      <c r="BQ501" s="25">
        <f>BE501*AX501</f>
        <v>0</v>
      </c>
      <c r="BR501" s="26"/>
      <c r="BS501" s="32"/>
    </row>
    <row r="502" spans="1:71" s="6" customFormat="1" ht="41.25" customHeight="1">
      <c r="A502" s="18">
        <v>499</v>
      </c>
      <c r="B502" s="18" t="s">
        <v>58</v>
      </c>
      <c r="C502" s="33" t="s">
        <v>481</v>
      </c>
      <c r="D502" s="75" t="s">
        <v>482</v>
      </c>
      <c r="E502" s="22" t="s">
        <v>1034</v>
      </c>
      <c r="F502" s="75" t="s">
        <v>482</v>
      </c>
      <c r="G502" s="75"/>
      <c r="H502" s="22"/>
      <c r="I502" s="22"/>
      <c r="J502" s="22"/>
      <c r="K502" s="22"/>
      <c r="L502" s="22"/>
      <c r="M502" s="22"/>
      <c r="N502" s="22" t="s">
        <v>1035</v>
      </c>
      <c r="O502" s="23"/>
      <c r="P502" s="18" t="s">
        <v>56</v>
      </c>
      <c r="Q502" s="72"/>
      <c r="R502" s="72"/>
      <c r="S502" s="35">
        <v>5</v>
      </c>
      <c r="T502" s="26"/>
      <c r="U502" s="26"/>
      <c r="V502" s="35"/>
      <c r="W502" s="154"/>
      <c r="X502" s="35"/>
      <c r="Y502" s="26">
        <f>T502+R502+Q502+U502+W502</f>
        <v>0</v>
      </c>
      <c r="Z502" s="27">
        <v>5</v>
      </c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>
        <f>SUM(AM502:AS502)</f>
        <v>0</v>
      </c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72">
        <f>Y502-AV502-AX502-AW502</f>
        <v>0</v>
      </c>
      <c r="AZ502" s="68"/>
      <c r="BA502" s="26">
        <f>AL502+AG502+AA502+AT502</f>
        <v>0</v>
      </c>
      <c r="BB502" s="30">
        <f>BD502+AO502+AG502</f>
        <v>0</v>
      </c>
      <c r="BC502" s="30">
        <f>BD502+AS502</f>
        <v>0</v>
      </c>
      <c r="BD502" s="30">
        <f>IF(BA502&gt;0,Y502-BA502,BA502)</f>
        <v>0</v>
      </c>
      <c r="BE502" s="31">
        <v>747.9</v>
      </c>
      <c r="BF502" s="30" t="s">
        <v>57</v>
      </c>
      <c r="BG502" s="31">
        <f>BE502*Q502</f>
        <v>0</v>
      </c>
      <c r="BH502" s="31">
        <f>BE502*R502*0.4</f>
        <v>0</v>
      </c>
      <c r="BI502" s="31"/>
      <c r="BJ502" s="31"/>
      <c r="BK502" s="32">
        <f>Y502*BE502</f>
        <v>0</v>
      </c>
      <c r="BL502" s="35"/>
      <c r="BM502" s="35"/>
      <c r="BN502" s="35"/>
      <c r="BO502" s="35"/>
      <c r="BP502" s="25">
        <f>BE502*AV502</f>
        <v>0</v>
      </c>
      <c r="BQ502" s="25">
        <f>BE502*AX502</f>
        <v>0</v>
      </c>
      <c r="BR502" s="26"/>
      <c r="BS502" s="32"/>
    </row>
    <row r="503" spans="1:71" s="6" customFormat="1" ht="41.25" customHeight="1">
      <c r="A503" s="18">
        <v>500</v>
      </c>
      <c r="B503" s="18" t="s">
        <v>58</v>
      </c>
      <c r="C503" s="33" t="s">
        <v>481</v>
      </c>
      <c r="D503" s="75" t="s">
        <v>482</v>
      </c>
      <c r="E503" s="22" t="s">
        <v>1034</v>
      </c>
      <c r="F503" s="75" t="s">
        <v>482</v>
      </c>
      <c r="G503" s="75"/>
      <c r="H503" s="22"/>
      <c r="I503" s="22"/>
      <c r="J503" s="22"/>
      <c r="K503" s="22"/>
      <c r="L503" s="22"/>
      <c r="M503" s="22"/>
      <c r="N503" s="22" t="s">
        <v>1036</v>
      </c>
      <c r="O503" s="23"/>
      <c r="P503" s="18" t="s">
        <v>56</v>
      </c>
      <c r="Q503" s="72"/>
      <c r="R503" s="72"/>
      <c r="S503" s="35">
        <v>5</v>
      </c>
      <c r="T503" s="26"/>
      <c r="U503" s="26"/>
      <c r="V503" s="35"/>
      <c r="W503" s="154"/>
      <c r="X503" s="35"/>
      <c r="Y503" s="26">
        <f>T503+R503+Q503+U503+W503</f>
        <v>0</v>
      </c>
      <c r="Z503" s="27">
        <v>5</v>
      </c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>
        <f>SUM(AM503:AS503)</f>
        <v>0</v>
      </c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72">
        <f>Y503-AV503-AX503-AW503</f>
        <v>0</v>
      </c>
      <c r="AZ503" s="68"/>
      <c r="BA503" s="26">
        <f>AL503+AG503+AA503+AT503</f>
        <v>0</v>
      </c>
      <c r="BB503" s="30">
        <f>BD503+AO503+AG503</f>
        <v>0</v>
      </c>
      <c r="BC503" s="30">
        <f>BD503+AS503</f>
        <v>0</v>
      </c>
      <c r="BD503" s="30">
        <f>IF(BA503&gt;0,Y503-BA503,BA503)</f>
        <v>0</v>
      </c>
      <c r="BE503" s="31">
        <v>747.9</v>
      </c>
      <c r="BF503" s="30" t="s">
        <v>57</v>
      </c>
      <c r="BG503" s="31">
        <f>BE503*Q503</f>
        <v>0</v>
      </c>
      <c r="BH503" s="31">
        <f>BE503*R503*0.4</f>
        <v>0</v>
      </c>
      <c r="BI503" s="31"/>
      <c r="BJ503" s="31"/>
      <c r="BK503" s="32">
        <f>Y503*BE503</f>
        <v>0</v>
      </c>
      <c r="BL503" s="35"/>
      <c r="BM503" s="35"/>
      <c r="BN503" s="35"/>
      <c r="BO503" s="35"/>
      <c r="BP503" s="25">
        <f>BE503*AV503</f>
        <v>0</v>
      </c>
      <c r="BQ503" s="25">
        <f>BE503*AX503</f>
        <v>0</v>
      </c>
      <c r="BR503" s="26"/>
      <c r="BS503" s="32"/>
    </row>
    <row r="504" spans="1:71" s="6" customFormat="1" ht="41.25" customHeight="1">
      <c r="A504" s="18">
        <v>501</v>
      </c>
      <c r="B504" s="18" t="s">
        <v>58</v>
      </c>
      <c r="C504" s="33" t="s">
        <v>481</v>
      </c>
      <c r="D504" s="75" t="s">
        <v>482</v>
      </c>
      <c r="E504" s="22" t="s">
        <v>1034</v>
      </c>
      <c r="F504" s="75" t="s">
        <v>482</v>
      </c>
      <c r="G504" s="75"/>
      <c r="H504" s="22"/>
      <c r="I504" s="22"/>
      <c r="J504" s="22"/>
      <c r="K504" s="22"/>
      <c r="L504" s="22"/>
      <c r="M504" s="22"/>
      <c r="N504" s="22" t="s">
        <v>1037</v>
      </c>
      <c r="O504" s="23"/>
      <c r="P504" s="18" t="s">
        <v>56</v>
      </c>
      <c r="Q504" s="72"/>
      <c r="R504" s="72"/>
      <c r="S504" s="35">
        <v>5</v>
      </c>
      <c r="T504" s="26"/>
      <c r="U504" s="26"/>
      <c r="V504" s="35"/>
      <c r="W504" s="154"/>
      <c r="X504" s="35"/>
      <c r="Y504" s="26">
        <f>T504+R504+Q504+U504+W504</f>
        <v>0</v>
      </c>
      <c r="Z504" s="27">
        <v>5</v>
      </c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>
        <f>SUM(AM504:AS504)</f>
        <v>0</v>
      </c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72">
        <f>Y504-AV504-AX504-AW504</f>
        <v>0</v>
      </c>
      <c r="AZ504" s="68"/>
      <c r="BA504" s="26">
        <f>AL504+AG504+AA504+AT504</f>
        <v>0</v>
      </c>
      <c r="BB504" s="30">
        <f>BD504+AO504+AG504</f>
        <v>0</v>
      </c>
      <c r="BC504" s="30">
        <f>BD504+AS504</f>
        <v>0</v>
      </c>
      <c r="BD504" s="30">
        <f>IF(BA504&gt;0,Y504-BA504,BA504)</f>
        <v>0</v>
      </c>
      <c r="BE504" s="31">
        <v>747.9</v>
      </c>
      <c r="BF504" s="30" t="s">
        <v>57</v>
      </c>
      <c r="BG504" s="31">
        <f>BE504*Q504</f>
        <v>0</v>
      </c>
      <c r="BH504" s="31">
        <f>BE504*R504*0.4</f>
        <v>0</v>
      </c>
      <c r="BI504" s="142"/>
      <c r="BJ504" s="142"/>
      <c r="BK504" s="32">
        <f>Y504*BE504</f>
        <v>0</v>
      </c>
      <c r="BL504" s="35"/>
      <c r="BM504" s="35"/>
      <c r="BN504" s="35"/>
      <c r="BO504" s="35"/>
      <c r="BP504" s="25">
        <f>BE504*AV504</f>
        <v>0</v>
      </c>
      <c r="BQ504" s="25">
        <f>BE504*AX504</f>
        <v>0</v>
      </c>
      <c r="BR504" s="28"/>
      <c r="BS504" s="32"/>
    </row>
    <row r="505" spans="1:71" s="6" customFormat="1" ht="41.25" customHeight="1">
      <c r="A505" s="18">
        <v>502</v>
      </c>
      <c r="B505" s="18" t="s">
        <v>58</v>
      </c>
      <c r="C505" s="33" t="s">
        <v>481</v>
      </c>
      <c r="D505" s="75" t="s">
        <v>482</v>
      </c>
      <c r="E505" s="22" t="s">
        <v>1034</v>
      </c>
      <c r="F505" s="75" t="s">
        <v>482</v>
      </c>
      <c r="G505" s="75"/>
      <c r="H505" s="22"/>
      <c r="I505" s="22"/>
      <c r="J505" s="22"/>
      <c r="K505" s="22"/>
      <c r="L505" s="22"/>
      <c r="M505" s="22"/>
      <c r="N505" s="22" t="s">
        <v>1038</v>
      </c>
      <c r="O505" s="23"/>
      <c r="P505" s="18" t="s">
        <v>56</v>
      </c>
      <c r="Q505" s="29">
        <v>5</v>
      </c>
      <c r="R505" s="72"/>
      <c r="S505" s="35">
        <v>5</v>
      </c>
      <c r="T505" s="26"/>
      <c r="U505" s="26"/>
      <c r="V505" s="35"/>
      <c r="W505" s="154"/>
      <c r="X505" s="35"/>
      <c r="Y505" s="53">
        <f>T505+R505+Q505+U505+W505</f>
        <v>5</v>
      </c>
      <c r="Z505" s="27">
        <v>5</v>
      </c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>
        <f>SUM(AM505:AS505)</f>
        <v>0</v>
      </c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9">
        <f>Y505-AV505-AX505-AW505</f>
        <v>5</v>
      </c>
      <c r="AZ505" s="29"/>
      <c r="BA505" s="26">
        <f>AL505+AG505+AA505+AT505</f>
        <v>0</v>
      </c>
      <c r="BB505" s="30">
        <f>BD505+AO505+AG505</f>
        <v>0</v>
      </c>
      <c r="BC505" s="30">
        <f>BD505+AS505</f>
        <v>0</v>
      </c>
      <c r="BD505" s="30">
        <f>IF(BA505&gt;0,Y505-BA505,BA505)</f>
        <v>0</v>
      </c>
      <c r="BE505" s="31">
        <v>747.9</v>
      </c>
      <c r="BF505" s="30" t="s">
        <v>57</v>
      </c>
      <c r="BG505" s="31">
        <f>BE505*Q505</f>
        <v>3739.5</v>
      </c>
      <c r="BH505" s="31">
        <f>BE505*R505*0.4</f>
        <v>0</v>
      </c>
      <c r="BI505" s="31"/>
      <c r="BJ505" s="31"/>
      <c r="BK505" s="32">
        <f>Y505*BE505</f>
        <v>3739.5</v>
      </c>
      <c r="BL505" s="35"/>
      <c r="BM505" s="35"/>
      <c r="BN505" s="35"/>
      <c r="BO505" s="35"/>
      <c r="BP505" s="25">
        <f>BE505*AV505</f>
        <v>0</v>
      </c>
      <c r="BQ505" s="25">
        <f>BE505*AX505</f>
        <v>0</v>
      </c>
      <c r="BR505" s="28"/>
      <c r="BS505" s="32"/>
    </row>
    <row r="506" spans="1:71" s="6" customFormat="1" ht="41.25" customHeight="1">
      <c r="A506" s="18">
        <v>503</v>
      </c>
      <c r="B506" s="18" t="s">
        <v>58</v>
      </c>
      <c r="C506" s="33" t="s">
        <v>481</v>
      </c>
      <c r="D506" s="75" t="s">
        <v>482</v>
      </c>
      <c r="E506" s="22" t="s">
        <v>1034</v>
      </c>
      <c r="F506" s="75" t="s">
        <v>482</v>
      </c>
      <c r="G506" s="75"/>
      <c r="H506" s="22"/>
      <c r="I506" s="22"/>
      <c r="J506" s="22"/>
      <c r="K506" s="22"/>
      <c r="L506" s="22"/>
      <c r="M506" s="22"/>
      <c r="N506" s="22" t="s">
        <v>1039</v>
      </c>
      <c r="O506" s="23"/>
      <c r="P506" s="18" t="s">
        <v>56</v>
      </c>
      <c r="Q506" s="72"/>
      <c r="R506" s="72"/>
      <c r="S506" s="35">
        <v>5</v>
      </c>
      <c r="T506" s="26"/>
      <c r="U506" s="26"/>
      <c r="V506" s="35"/>
      <c r="W506" s="154"/>
      <c r="X506" s="35"/>
      <c r="Y506" s="26">
        <f>T506+R506+Q506+U506+W506</f>
        <v>0</v>
      </c>
      <c r="Z506" s="27">
        <v>5</v>
      </c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>
        <f>SUM(AM506:AS506)</f>
        <v>0</v>
      </c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72">
        <f>Y506-AV506-AX506-AW506</f>
        <v>0</v>
      </c>
      <c r="AZ506" s="68"/>
      <c r="BA506" s="26">
        <f>AL506+AG506+AA506+AT506</f>
        <v>0</v>
      </c>
      <c r="BB506" s="30">
        <f>BD506+AO506+AG506</f>
        <v>0</v>
      </c>
      <c r="BC506" s="30">
        <f>BD506+AS506</f>
        <v>0</v>
      </c>
      <c r="BD506" s="30">
        <f>IF(BA506&gt;0,Y506-BA506,BA506)</f>
        <v>0</v>
      </c>
      <c r="BE506" s="31">
        <v>747.9</v>
      </c>
      <c r="BF506" s="30" t="s">
        <v>57</v>
      </c>
      <c r="BG506" s="31">
        <f>BE506*Q506</f>
        <v>0</v>
      </c>
      <c r="BH506" s="31">
        <f>BE506*R506*0.4</f>
        <v>0</v>
      </c>
      <c r="BI506" s="142"/>
      <c r="BJ506" s="142"/>
      <c r="BK506" s="32">
        <f>Y506*BE506</f>
        <v>0</v>
      </c>
      <c r="BL506" s="35"/>
      <c r="BM506" s="35"/>
      <c r="BN506" s="35"/>
      <c r="BO506" s="35"/>
      <c r="BP506" s="25">
        <f>BE506*AV506</f>
        <v>0</v>
      </c>
      <c r="BQ506" s="25">
        <f>BE506*AX506</f>
        <v>0</v>
      </c>
      <c r="BR506" s="28"/>
      <c r="BS506" s="32"/>
    </row>
    <row r="507" spans="1:71" s="6" customFormat="1" ht="41.25" customHeight="1">
      <c r="A507" s="18">
        <v>504</v>
      </c>
      <c r="B507" s="18" t="s">
        <v>58</v>
      </c>
      <c r="C507" s="33" t="s">
        <v>481</v>
      </c>
      <c r="D507" s="75" t="s">
        <v>482</v>
      </c>
      <c r="E507" s="22" t="s">
        <v>1034</v>
      </c>
      <c r="F507" s="75" t="s">
        <v>482</v>
      </c>
      <c r="G507" s="75"/>
      <c r="H507" s="22"/>
      <c r="I507" s="22"/>
      <c r="J507" s="22"/>
      <c r="K507" s="22"/>
      <c r="L507" s="22"/>
      <c r="M507" s="22"/>
      <c r="N507" s="22" t="s">
        <v>1040</v>
      </c>
      <c r="O507" s="23"/>
      <c r="P507" s="18" t="s">
        <v>56</v>
      </c>
      <c r="Q507" s="29">
        <v>5</v>
      </c>
      <c r="R507" s="72"/>
      <c r="S507" s="35">
        <v>5</v>
      </c>
      <c r="T507" s="26"/>
      <c r="U507" s="26"/>
      <c r="V507" s="35"/>
      <c r="W507" s="154"/>
      <c r="X507" s="35"/>
      <c r="Y507" s="53">
        <f>T507+R507+Q507+U507+W507</f>
        <v>5</v>
      </c>
      <c r="Z507" s="27">
        <v>5</v>
      </c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>
        <f>SUM(AM507:AS507)</f>
        <v>0</v>
      </c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9">
        <f>Y507-AV507-AX507-AW507</f>
        <v>5</v>
      </c>
      <c r="AZ507" s="29"/>
      <c r="BA507" s="26">
        <f>AL507+AG507+AA507+AT507</f>
        <v>0</v>
      </c>
      <c r="BB507" s="30">
        <f>BD507+AO507+AG507</f>
        <v>0</v>
      </c>
      <c r="BC507" s="30">
        <f>BD507+AS507</f>
        <v>0</v>
      </c>
      <c r="BD507" s="30">
        <f>IF(BA507&gt;0,Y507-BA507,BA507)</f>
        <v>0</v>
      </c>
      <c r="BE507" s="31">
        <v>747.9</v>
      </c>
      <c r="BF507" s="30" t="s">
        <v>57</v>
      </c>
      <c r="BG507" s="31">
        <f>BE507*Q507</f>
        <v>3739.5</v>
      </c>
      <c r="BH507" s="31">
        <f>BE507*R507*0.4</f>
        <v>0</v>
      </c>
      <c r="BI507" s="142"/>
      <c r="BJ507" s="142"/>
      <c r="BK507" s="32">
        <f>Y507*BE507</f>
        <v>3739.5</v>
      </c>
      <c r="BL507" s="35"/>
      <c r="BM507" s="35"/>
      <c r="BN507" s="35"/>
      <c r="BO507" s="35"/>
      <c r="BP507" s="25">
        <f>BE507*AV507</f>
        <v>0</v>
      </c>
      <c r="BQ507" s="25">
        <f>BE507*AX507</f>
        <v>0</v>
      </c>
      <c r="BR507" s="28"/>
      <c r="BS507" s="32"/>
    </row>
    <row r="508" spans="1:71" s="6" customFormat="1" ht="41.25" customHeight="1">
      <c r="A508" s="18">
        <v>505</v>
      </c>
      <c r="B508" s="18" t="s">
        <v>58</v>
      </c>
      <c r="C508" s="33" t="s">
        <v>481</v>
      </c>
      <c r="D508" s="75" t="s">
        <v>482</v>
      </c>
      <c r="E508" s="22" t="s">
        <v>1041</v>
      </c>
      <c r="F508" s="75" t="s">
        <v>482</v>
      </c>
      <c r="G508" s="75"/>
      <c r="H508" s="22"/>
      <c r="I508" s="22"/>
      <c r="J508" s="22"/>
      <c r="K508" s="22"/>
      <c r="L508" s="22"/>
      <c r="M508" s="22"/>
      <c r="N508" s="22" t="s">
        <v>1042</v>
      </c>
      <c r="O508" s="23"/>
      <c r="P508" s="18" t="s">
        <v>56</v>
      </c>
      <c r="Q508" s="72"/>
      <c r="R508" s="72"/>
      <c r="S508" s="35">
        <v>5</v>
      </c>
      <c r="T508" s="26"/>
      <c r="U508" s="26"/>
      <c r="V508" s="35"/>
      <c r="W508" s="154"/>
      <c r="X508" s="35"/>
      <c r="Y508" s="26">
        <f>T508+R508+Q508+U508+W508</f>
        <v>0</v>
      </c>
      <c r="Z508" s="27">
        <v>5</v>
      </c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>
        <f>SUM(AM508:AS508)</f>
        <v>0</v>
      </c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72">
        <f>Y508-AV508-AX508-AW508</f>
        <v>0</v>
      </c>
      <c r="AZ508" s="68"/>
      <c r="BA508" s="26">
        <f>AL508+AG508+AA508+AT508</f>
        <v>0</v>
      </c>
      <c r="BB508" s="30">
        <f>BD508+AO508+AG508</f>
        <v>0</v>
      </c>
      <c r="BC508" s="30">
        <f>BD508+AS508</f>
        <v>0</v>
      </c>
      <c r="BD508" s="30">
        <f>IF(BA508&gt;0,Y508-BA508,BA508)</f>
        <v>0</v>
      </c>
      <c r="BE508" s="31">
        <v>747.9</v>
      </c>
      <c r="BF508" s="30" t="s">
        <v>57</v>
      </c>
      <c r="BG508" s="31">
        <f>BE508*Q508</f>
        <v>0</v>
      </c>
      <c r="BH508" s="31">
        <f>BE508*R508*0.4</f>
        <v>0</v>
      </c>
      <c r="BI508" s="142"/>
      <c r="BJ508" s="142"/>
      <c r="BK508" s="32">
        <f>Y508*BE508</f>
        <v>0</v>
      </c>
      <c r="BL508" s="35"/>
      <c r="BM508" s="35"/>
      <c r="BN508" s="35"/>
      <c r="BO508" s="35"/>
      <c r="BP508" s="25">
        <f>BE508*AV508</f>
        <v>0</v>
      </c>
      <c r="BQ508" s="25">
        <f>BE508*AX508</f>
        <v>0</v>
      </c>
      <c r="BR508" s="28"/>
      <c r="BS508" s="32"/>
    </row>
    <row r="509" spans="1:71" s="6" customFormat="1" ht="41.25" customHeight="1">
      <c r="A509" s="18">
        <v>506</v>
      </c>
      <c r="B509" s="18" t="s">
        <v>58</v>
      </c>
      <c r="C509" s="33" t="s">
        <v>481</v>
      </c>
      <c r="D509" s="75" t="s">
        <v>482</v>
      </c>
      <c r="E509" s="22" t="s">
        <v>1041</v>
      </c>
      <c r="F509" s="75" t="s">
        <v>482</v>
      </c>
      <c r="G509" s="75"/>
      <c r="H509" s="22"/>
      <c r="I509" s="22"/>
      <c r="J509" s="22"/>
      <c r="K509" s="22"/>
      <c r="L509" s="22"/>
      <c r="M509" s="22"/>
      <c r="N509" s="22" t="s">
        <v>1043</v>
      </c>
      <c r="O509" s="23"/>
      <c r="P509" s="18" t="s">
        <v>56</v>
      </c>
      <c r="Q509" s="148">
        <v>5</v>
      </c>
      <c r="R509" s="72"/>
      <c r="S509" s="35">
        <v>5</v>
      </c>
      <c r="T509" s="26"/>
      <c r="U509" s="26"/>
      <c r="V509" s="35"/>
      <c r="W509" s="154"/>
      <c r="X509" s="35"/>
      <c r="Y509" s="53">
        <f>T509+R509+Q509+U509+W509</f>
        <v>5</v>
      </c>
      <c r="Z509" s="27">
        <v>5</v>
      </c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>
        <f>SUM(AM509:AS509)</f>
        <v>0</v>
      </c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9">
        <f>Y509-AV509-AX509-AW509</f>
        <v>5</v>
      </c>
      <c r="AZ509" s="29"/>
      <c r="BA509" s="26">
        <f>AL509+AG509+AA509+AT509</f>
        <v>0</v>
      </c>
      <c r="BB509" s="30">
        <f>BD509+AO509+AG509</f>
        <v>0</v>
      </c>
      <c r="BC509" s="30">
        <f>BD509+AS509</f>
        <v>0</v>
      </c>
      <c r="BD509" s="30">
        <f>IF(BA509&gt;0,Y509-BA509,BA509)</f>
        <v>0</v>
      </c>
      <c r="BE509" s="31">
        <v>747.9</v>
      </c>
      <c r="BF509" s="30" t="s">
        <v>57</v>
      </c>
      <c r="BG509" s="31">
        <f>BE509*Q509</f>
        <v>3739.5</v>
      </c>
      <c r="BH509" s="31">
        <f>BE509*R509*0.4</f>
        <v>0</v>
      </c>
      <c r="BI509" s="142"/>
      <c r="BJ509" s="142"/>
      <c r="BK509" s="32">
        <f>Y509*BE509</f>
        <v>3739.5</v>
      </c>
      <c r="BL509" s="35"/>
      <c r="BM509" s="35"/>
      <c r="BN509" s="35"/>
      <c r="BO509" s="35"/>
      <c r="BP509" s="25">
        <f>BE509*AV509</f>
        <v>0</v>
      </c>
      <c r="BQ509" s="25">
        <f>BE509*AX509</f>
        <v>0</v>
      </c>
      <c r="BR509" s="28"/>
      <c r="BS509" s="32"/>
    </row>
    <row r="510" spans="1:71" s="6" customFormat="1" ht="41.25" customHeight="1">
      <c r="A510" s="18">
        <v>507</v>
      </c>
      <c r="B510" s="18" t="s">
        <v>58</v>
      </c>
      <c r="C510" s="33" t="s">
        <v>481</v>
      </c>
      <c r="D510" s="75" t="s">
        <v>482</v>
      </c>
      <c r="E510" s="22" t="s">
        <v>1041</v>
      </c>
      <c r="F510" s="75" t="s">
        <v>482</v>
      </c>
      <c r="G510" s="75"/>
      <c r="H510" s="22"/>
      <c r="I510" s="22"/>
      <c r="J510" s="22"/>
      <c r="K510" s="22"/>
      <c r="L510" s="22"/>
      <c r="M510" s="22"/>
      <c r="N510" s="22" t="s">
        <v>1044</v>
      </c>
      <c r="O510" s="23"/>
      <c r="P510" s="18" t="s">
        <v>56</v>
      </c>
      <c r="Q510" s="72"/>
      <c r="R510" s="72"/>
      <c r="S510" s="35">
        <v>5</v>
      </c>
      <c r="T510" s="26"/>
      <c r="U510" s="26"/>
      <c r="V510" s="35"/>
      <c r="W510" s="154"/>
      <c r="X510" s="35"/>
      <c r="Y510" s="26">
        <f>T510+R510+Q510+U510+W510</f>
        <v>0</v>
      </c>
      <c r="Z510" s="27">
        <v>5</v>
      </c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>
        <f>SUM(AM510:AS510)</f>
        <v>0</v>
      </c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72">
        <f>Y510-AV510-AX510-AW510</f>
        <v>0</v>
      </c>
      <c r="AZ510" s="68"/>
      <c r="BA510" s="26">
        <f>AL510+AG510+AA510+AT510</f>
        <v>0</v>
      </c>
      <c r="BB510" s="30">
        <f>BD510+AO510+AG510</f>
        <v>0</v>
      </c>
      <c r="BC510" s="30">
        <f>BD510+AS510</f>
        <v>0</v>
      </c>
      <c r="BD510" s="30">
        <f>IF(BA510&gt;0,Y510-BA510,BA510)</f>
        <v>0</v>
      </c>
      <c r="BE510" s="31">
        <v>747.9</v>
      </c>
      <c r="BF510" s="30" t="s">
        <v>57</v>
      </c>
      <c r="BG510" s="31">
        <f>BE510*Q510</f>
        <v>0</v>
      </c>
      <c r="BH510" s="31">
        <f>BE510*R510*0.4</f>
        <v>0</v>
      </c>
      <c r="BI510" s="142"/>
      <c r="BJ510" s="142"/>
      <c r="BK510" s="32">
        <f>Y510*BE510</f>
        <v>0</v>
      </c>
      <c r="BL510" s="35"/>
      <c r="BM510" s="35"/>
      <c r="BN510" s="35"/>
      <c r="BO510" s="35"/>
      <c r="BP510" s="25">
        <f>BE510*AV510</f>
        <v>0</v>
      </c>
      <c r="BQ510" s="25">
        <f>BE510*AX510</f>
        <v>0</v>
      </c>
      <c r="BR510" s="26"/>
      <c r="BS510" s="32"/>
    </row>
    <row r="511" spans="1:71" s="6" customFormat="1" ht="41.25" customHeight="1">
      <c r="A511" s="18">
        <v>508</v>
      </c>
      <c r="B511" s="18" t="s">
        <v>58</v>
      </c>
      <c r="C511" s="33" t="s">
        <v>481</v>
      </c>
      <c r="D511" s="75" t="s">
        <v>482</v>
      </c>
      <c r="E511" s="22" t="s">
        <v>1041</v>
      </c>
      <c r="F511" s="75" t="s">
        <v>482</v>
      </c>
      <c r="G511" s="75"/>
      <c r="H511" s="22"/>
      <c r="I511" s="22"/>
      <c r="J511" s="22"/>
      <c r="K511" s="22"/>
      <c r="L511" s="22"/>
      <c r="M511" s="22"/>
      <c r="N511" s="22" t="s">
        <v>1045</v>
      </c>
      <c r="O511" s="23"/>
      <c r="P511" s="18" t="s">
        <v>56</v>
      </c>
      <c r="Q511" s="29">
        <v>5</v>
      </c>
      <c r="R511" s="72"/>
      <c r="S511" s="35">
        <v>5</v>
      </c>
      <c r="T511" s="26"/>
      <c r="U511" s="26"/>
      <c r="V511" s="35"/>
      <c r="W511" s="154"/>
      <c r="X511" s="35"/>
      <c r="Y511" s="53">
        <f>T511+R511+Q511+U511+W511</f>
        <v>5</v>
      </c>
      <c r="Z511" s="27">
        <v>5</v>
      </c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>
        <f>SUM(AM511:AS511)</f>
        <v>0</v>
      </c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9">
        <f>Y511-AV511-AX511-AW511</f>
        <v>5</v>
      </c>
      <c r="AZ511" s="29"/>
      <c r="BA511" s="26">
        <f>AL511+AG511+AA511+AT511</f>
        <v>0</v>
      </c>
      <c r="BB511" s="30">
        <f>BD511+AO511+AG511</f>
        <v>0</v>
      </c>
      <c r="BC511" s="30">
        <f>BD511+AS511</f>
        <v>0</v>
      </c>
      <c r="BD511" s="30">
        <f>IF(BA511&gt;0,Y511-BA511,BA511)</f>
        <v>0</v>
      </c>
      <c r="BE511" s="31">
        <v>747.9</v>
      </c>
      <c r="BF511" s="30" t="s">
        <v>57</v>
      </c>
      <c r="BG511" s="31">
        <f>BE511*Q511</f>
        <v>3739.5</v>
      </c>
      <c r="BH511" s="31">
        <f>BE511*R511*0.4</f>
        <v>0</v>
      </c>
      <c r="BI511" s="31"/>
      <c r="BJ511" s="31"/>
      <c r="BK511" s="32">
        <f>Y511*BE511</f>
        <v>3739.5</v>
      </c>
      <c r="BL511" s="35"/>
      <c r="BM511" s="35"/>
      <c r="BN511" s="35"/>
      <c r="BO511" s="35"/>
      <c r="BP511" s="25">
        <f>BE511*AV511</f>
        <v>0</v>
      </c>
      <c r="BQ511" s="25">
        <f>BE511*AX511</f>
        <v>0</v>
      </c>
      <c r="BR511" s="26"/>
      <c r="BS511" s="32"/>
    </row>
    <row r="512" spans="1:71" s="6" customFormat="1" ht="41.25" customHeight="1">
      <c r="A512" s="18">
        <v>509</v>
      </c>
      <c r="B512" s="18" t="s">
        <v>58</v>
      </c>
      <c r="C512" s="33" t="s">
        <v>481</v>
      </c>
      <c r="D512" s="75" t="s">
        <v>482</v>
      </c>
      <c r="E512" s="22" t="s">
        <v>1041</v>
      </c>
      <c r="F512" s="75" t="s">
        <v>482</v>
      </c>
      <c r="G512" s="75"/>
      <c r="H512" s="22"/>
      <c r="I512" s="22"/>
      <c r="J512" s="22"/>
      <c r="K512" s="22"/>
      <c r="L512" s="22"/>
      <c r="M512" s="22"/>
      <c r="N512" s="22" t="s">
        <v>1046</v>
      </c>
      <c r="O512" s="23"/>
      <c r="P512" s="18" t="s">
        <v>56</v>
      </c>
      <c r="Q512" s="72"/>
      <c r="R512" s="72"/>
      <c r="S512" s="35">
        <v>5</v>
      </c>
      <c r="T512" s="26"/>
      <c r="U512" s="26"/>
      <c r="V512" s="35"/>
      <c r="W512" s="154"/>
      <c r="X512" s="35"/>
      <c r="Y512" s="26">
        <f>T512+R512+Q512+U512+W512</f>
        <v>0</v>
      </c>
      <c r="Z512" s="27">
        <v>5</v>
      </c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>
        <f>SUM(AM512:AS512)</f>
        <v>0</v>
      </c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72">
        <f>Y512-AV512-AX512-AW512</f>
        <v>0</v>
      </c>
      <c r="AZ512" s="68"/>
      <c r="BA512" s="26">
        <f>AL512+AG512+AA512+AT512</f>
        <v>0</v>
      </c>
      <c r="BB512" s="30">
        <f>BD512+AO512+AG512</f>
        <v>0</v>
      </c>
      <c r="BC512" s="30">
        <f>BD512+AS512</f>
        <v>0</v>
      </c>
      <c r="BD512" s="30">
        <f>IF(BA512&gt;0,Y512-BA512,BA512)</f>
        <v>0</v>
      </c>
      <c r="BE512" s="31">
        <v>747.9</v>
      </c>
      <c r="BF512" s="30" t="s">
        <v>57</v>
      </c>
      <c r="BG512" s="31">
        <f>BE512*Q512</f>
        <v>0</v>
      </c>
      <c r="BH512" s="31">
        <f>BE512*R512*0.4</f>
        <v>0</v>
      </c>
      <c r="BI512" s="31"/>
      <c r="BJ512" s="31"/>
      <c r="BK512" s="32">
        <f>Y512*BE512</f>
        <v>0</v>
      </c>
      <c r="BL512" s="35"/>
      <c r="BM512" s="35"/>
      <c r="BN512" s="35"/>
      <c r="BO512" s="35"/>
      <c r="BP512" s="25">
        <f>BE512*AV512</f>
        <v>0</v>
      </c>
      <c r="BQ512" s="25">
        <f>BE512*AX512</f>
        <v>0</v>
      </c>
      <c r="BR512" s="26"/>
      <c r="BS512" s="32"/>
    </row>
    <row r="513" spans="1:71" s="6" customFormat="1" ht="41.25" customHeight="1">
      <c r="A513" s="18">
        <v>510</v>
      </c>
      <c r="B513" s="18" t="s">
        <v>58</v>
      </c>
      <c r="C513" s="33" t="s">
        <v>481</v>
      </c>
      <c r="D513" s="75" t="s">
        <v>482</v>
      </c>
      <c r="E513" s="22" t="s">
        <v>1041</v>
      </c>
      <c r="F513" s="75" t="s">
        <v>482</v>
      </c>
      <c r="G513" s="75"/>
      <c r="H513" s="22"/>
      <c r="I513" s="22"/>
      <c r="J513" s="22"/>
      <c r="K513" s="22"/>
      <c r="L513" s="22"/>
      <c r="M513" s="22"/>
      <c r="N513" s="22" t="s">
        <v>1047</v>
      </c>
      <c r="O513" s="23"/>
      <c r="P513" s="18" t="s">
        <v>56</v>
      </c>
      <c r="Q513" s="72"/>
      <c r="R513" s="72"/>
      <c r="S513" s="35">
        <v>5</v>
      </c>
      <c r="T513" s="26"/>
      <c r="U513" s="26"/>
      <c r="V513" s="35"/>
      <c r="W513" s="154"/>
      <c r="X513" s="35"/>
      <c r="Y513" s="26">
        <f>T513+R513+Q513+U513+W513</f>
        <v>0</v>
      </c>
      <c r="Z513" s="27">
        <v>5</v>
      </c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>
        <f>SUM(AM513:AS513)</f>
        <v>0</v>
      </c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72">
        <f>Y513-AV513-AX513-AW513</f>
        <v>0</v>
      </c>
      <c r="AZ513" s="68"/>
      <c r="BA513" s="26">
        <f>AL513+AG513+AA513+AT513</f>
        <v>0</v>
      </c>
      <c r="BB513" s="30">
        <f>BD513+AO513+AG513</f>
        <v>0</v>
      </c>
      <c r="BC513" s="30">
        <f>BD513+AS513</f>
        <v>0</v>
      </c>
      <c r="BD513" s="30">
        <f>IF(BA513&gt;0,Y513-BA513,BA513)</f>
        <v>0</v>
      </c>
      <c r="BE513" s="31">
        <v>747.9</v>
      </c>
      <c r="BF513" s="30" t="s">
        <v>57</v>
      </c>
      <c r="BG513" s="31">
        <f>BE513*Q513</f>
        <v>0</v>
      </c>
      <c r="BH513" s="31">
        <f>BE513*R513*0.4</f>
        <v>0</v>
      </c>
      <c r="BI513" s="31"/>
      <c r="BJ513" s="31"/>
      <c r="BK513" s="32">
        <f>Y513*BE513</f>
        <v>0</v>
      </c>
      <c r="BL513" s="35"/>
      <c r="BM513" s="35"/>
      <c r="BN513" s="35"/>
      <c r="BO513" s="35"/>
      <c r="BP513" s="25">
        <f>BE513*AV513</f>
        <v>0</v>
      </c>
      <c r="BQ513" s="25">
        <f>BE513*AX513</f>
        <v>0</v>
      </c>
      <c r="BR513" s="28"/>
      <c r="BS513" s="32"/>
    </row>
    <row r="514" spans="1:71" s="6" customFormat="1" ht="41.25" customHeight="1">
      <c r="A514" s="18">
        <v>511</v>
      </c>
      <c r="B514" s="18" t="s">
        <v>58</v>
      </c>
      <c r="C514" s="33" t="s">
        <v>481</v>
      </c>
      <c r="D514" s="75" t="s">
        <v>482</v>
      </c>
      <c r="E514" s="22" t="s">
        <v>1048</v>
      </c>
      <c r="F514" s="75" t="s">
        <v>482</v>
      </c>
      <c r="G514" s="75"/>
      <c r="H514" s="22"/>
      <c r="I514" s="22"/>
      <c r="J514" s="22"/>
      <c r="K514" s="22"/>
      <c r="L514" s="22"/>
      <c r="M514" s="22"/>
      <c r="N514" s="22" t="s">
        <v>1049</v>
      </c>
      <c r="O514" s="23"/>
      <c r="P514" s="18" t="s">
        <v>56</v>
      </c>
      <c r="Q514" s="72"/>
      <c r="R514" s="72"/>
      <c r="S514" s="35">
        <v>5</v>
      </c>
      <c r="T514" s="26"/>
      <c r="U514" s="26"/>
      <c r="V514" s="35"/>
      <c r="W514" s="154"/>
      <c r="X514" s="35"/>
      <c r="Y514" s="26">
        <f>T514+R514+Q514+U514+W514</f>
        <v>0</v>
      </c>
      <c r="Z514" s="27">
        <v>5</v>
      </c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>
        <f>SUM(AM514:AS514)</f>
        <v>0</v>
      </c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72">
        <f>Y514-AV514-AX514-AW514</f>
        <v>0</v>
      </c>
      <c r="AZ514" s="68"/>
      <c r="BA514" s="26">
        <f>AL514+AG514+AA514+AT514</f>
        <v>0</v>
      </c>
      <c r="BB514" s="30">
        <f>BD514+AO514+AG514</f>
        <v>0</v>
      </c>
      <c r="BC514" s="30">
        <f>BD514+AS514</f>
        <v>0</v>
      </c>
      <c r="BD514" s="30">
        <f>IF(BA514&gt;0,Y514-BA514,BA514)</f>
        <v>0</v>
      </c>
      <c r="BE514" s="31">
        <v>747.9</v>
      </c>
      <c r="BF514" s="30" t="s">
        <v>57</v>
      </c>
      <c r="BG514" s="31">
        <f>BE514*Q514</f>
        <v>0</v>
      </c>
      <c r="BH514" s="31">
        <f>BE514*R514*0.4</f>
        <v>0</v>
      </c>
      <c r="BI514" s="142"/>
      <c r="BJ514" s="142"/>
      <c r="BK514" s="32">
        <f>Y514*BE514</f>
        <v>0</v>
      </c>
      <c r="BL514" s="35"/>
      <c r="BM514" s="35"/>
      <c r="BN514" s="35"/>
      <c r="BO514" s="35"/>
      <c r="BP514" s="25">
        <f>BE514*AV514</f>
        <v>0</v>
      </c>
      <c r="BQ514" s="25">
        <f>BE514*AX514</f>
        <v>0</v>
      </c>
      <c r="BR514" s="28"/>
      <c r="BS514" s="32"/>
    </row>
    <row r="515" spans="1:71" s="6" customFormat="1" ht="41.25" customHeight="1">
      <c r="A515" s="18">
        <v>512</v>
      </c>
      <c r="B515" s="18" t="s">
        <v>58</v>
      </c>
      <c r="C515" s="33" t="s">
        <v>481</v>
      </c>
      <c r="D515" s="75" t="s">
        <v>482</v>
      </c>
      <c r="E515" s="22" t="s">
        <v>1048</v>
      </c>
      <c r="F515" s="75" t="s">
        <v>482</v>
      </c>
      <c r="G515" s="75"/>
      <c r="H515" s="22"/>
      <c r="I515" s="22"/>
      <c r="J515" s="22"/>
      <c r="K515" s="22"/>
      <c r="L515" s="22"/>
      <c r="M515" s="22"/>
      <c r="N515" s="22" t="s">
        <v>1050</v>
      </c>
      <c r="O515" s="23"/>
      <c r="P515" s="18" t="s">
        <v>56</v>
      </c>
      <c r="Q515" s="72"/>
      <c r="R515" s="72"/>
      <c r="S515" s="35">
        <v>5</v>
      </c>
      <c r="T515" s="26"/>
      <c r="U515" s="26"/>
      <c r="V515" s="35"/>
      <c r="W515" s="154"/>
      <c r="X515" s="35"/>
      <c r="Y515" s="26">
        <f>T515+R515+Q515+U515+W515</f>
        <v>0</v>
      </c>
      <c r="Z515" s="27">
        <v>5</v>
      </c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>
        <f>SUM(AM515:AS515)</f>
        <v>0</v>
      </c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72">
        <f>Y515-AV515-AX515-AW515</f>
        <v>0</v>
      </c>
      <c r="AZ515" s="68"/>
      <c r="BA515" s="26">
        <f>AL515+AG515+AA515+AT515</f>
        <v>0</v>
      </c>
      <c r="BB515" s="30">
        <f>BD515+AO515+AG515</f>
        <v>0</v>
      </c>
      <c r="BC515" s="30">
        <f>BD515+AS515</f>
        <v>0</v>
      </c>
      <c r="BD515" s="30">
        <f>IF(BA515&gt;0,Y515-BA515,BA515)</f>
        <v>0</v>
      </c>
      <c r="BE515" s="31">
        <v>747.9</v>
      </c>
      <c r="BF515" s="30" t="s">
        <v>57</v>
      </c>
      <c r="BG515" s="31">
        <f>BE515*Q515</f>
        <v>0</v>
      </c>
      <c r="BH515" s="31">
        <f>BE515*R515*0.4</f>
        <v>0</v>
      </c>
      <c r="BI515" s="142"/>
      <c r="BJ515" s="142"/>
      <c r="BK515" s="32">
        <f>Y515*BE515</f>
        <v>0</v>
      </c>
      <c r="BL515" s="35"/>
      <c r="BM515" s="35"/>
      <c r="BN515" s="35"/>
      <c r="BO515" s="35"/>
      <c r="BP515" s="25">
        <f>BE515*AV515</f>
        <v>0</v>
      </c>
      <c r="BQ515" s="25">
        <f>BE515*AX515</f>
        <v>0</v>
      </c>
      <c r="BR515" s="28"/>
      <c r="BS515" s="32"/>
    </row>
    <row r="516" spans="1:71" s="6" customFormat="1" ht="41.25" customHeight="1">
      <c r="A516" s="18">
        <v>513</v>
      </c>
      <c r="B516" s="18" t="s">
        <v>58</v>
      </c>
      <c r="C516" s="33" t="s">
        <v>481</v>
      </c>
      <c r="D516" s="75" t="s">
        <v>482</v>
      </c>
      <c r="E516" s="22" t="s">
        <v>1048</v>
      </c>
      <c r="F516" s="75" t="s">
        <v>482</v>
      </c>
      <c r="G516" s="75"/>
      <c r="H516" s="22"/>
      <c r="I516" s="22"/>
      <c r="J516" s="22"/>
      <c r="K516" s="22"/>
      <c r="L516" s="22"/>
      <c r="M516" s="22"/>
      <c r="N516" s="22" t="s">
        <v>1051</v>
      </c>
      <c r="O516" s="23"/>
      <c r="P516" s="18" t="s">
        <v>56</v>
      </c>
      <c r="Q516" s="72"/>
      <c r="R516" s="72"/>
      <c r="S516" s="35">
        <v>5</v>
      </c>
      <c r="T516" s="26"/>
      <c r="U516" s="26"/>
      <c r="V516" s="35"/>
      <c r="W516" s="154"/>
      <c r="X516" s="35"/>
      <c r="Y516" s="26">
        <f>T516+R516+Q516+U516+W516</f>
        <v>0</v>
      </c>
      <c r="Z516" s="27">
        <v>5</v>
      </c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>
        <f>SUM(AM516:AS516)</f>
        <v>0</v>
      </c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72">
        <f>Y516-AV516-AX516-AW516</f>
        <v>0</v>
      </c>
      <c r="AZ516" s="68"/>
      <c r="BA516" s="26">
        <f>AL516+AG516+AA516+AT516</f>
        <v>0</v>
      </c>
      <c r="BB516" s="30">
        <f>BD516+AO516+AG516</f>
        <v>0</v>
      </c>
      <c r="BC516" s="30">
        <f>BD516+AS516</f>
        <v>0</v>
      </c>
      <c r="BD516" s="30">
        <f>IF(BA516&gt;0,Y516-BA516,BA516)</f>
        <v>0</v>
      </c>
      <c r="BE516" s="31">
        <v>747.9</v>
      </c>
      <c r="BF516" s="30" t="s">
        <v>57</v>
      </c>
      <c r="BG516" s="31">
        <f>BE516*Q516</f>
        <v>0</v>
      </c>
      <c r="BH516" s="31">
        <f>BE516*R516*0.4</f>
        <v>0</v>
      </c>
      <c r="BI516" s="31"/>
      <c r="BJ516" s="31"/>
      <c r="BK516" s="32">
        <f>Y516*BE516</f>
        <v>0</v>
      </c>
      <c r="BL516" s="35"/>
      <c r="BM516" s="35"/>
      <c r="BN516" s="35"/>
      <c r="BO516" s="35"/>
      <c r="BP516" s="25">
        <f>BE516*AV516</f>
        <v>0</v>
      </c>
      <c r="BQ516" s="25">
        <f>BE516*AX516</f>
        <v>0</v>
      </c>
      <c r="BR516" s="28"/>
      <c r="BS516" s="32"/>
    </row>
    <row r="517" spans="1:71" s="6" customFormat="1" ht="41.25" customHeight="1">
      <c r="A517" s="18">
        <v>514</v>
      </c>
      <c r="B517" s="18" t="s">
        <v>58</v>
      </c>
      <c r="C517" s="33" t="s">
        <v>481</v>
      </c>
      <c r="D517" s="75" t="s">
        <v>482</v>
      </c>
      <c r="E517" s="22" t="s">
        <v>1048</v>
      </c>
      <c r="F517" s="75" t="s">
        <v>482</v>
      </c>
      <c r="G517" s="75"/>
      <c r="H517" s="22"/>
      <c r="I517" s="22"/>
      <c r="J517" s="22"/>
      <c r="K517" s="22"/>
      <c r="L517" s="22"/>
      <c r="M517" s="22"/>
      <c r="N517" s="22" t="s">
        <v>1052</v>
      </c>
      <c r="O517" s="23"/>
      <c r="P517" s="18" t="s">
        <v>56</v>
      </c>
      <c r="Q517" s="72"/>
      <c r="R517" s="72"/>
      <c r="S517" s="35">
        <v>5</v>
      </c>
      <c r="T517" s="26"/>
      <c r="U517" s="26"/>
      <c r="V517" s="35"/>
      <c r="W517" s="154"/>
      <c r="X517" s="35"/>
      <c r="Y517" s="26">
        <f>T517+R517+Q517+U517+W517</f>
        <v>0</v>
      </c>
      <c r="Z517" s="27">
        <v>5</v>
      </c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>
        <f>SUM(AM517:AS517)</f>
        <v>0</v>
      </c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72">
        <f>Y517-AV517-AX517-AW517</f>
        <v>0</v>
      </c>
      <c r="AZ517" s="68"/>
      <c r="BA517" s="26">
        <f>AL517+AG517+AA517+AT517</f>
        <v>0</v>
      </c>
      <c r="BB517" s="30">
        <f>BD517+AO517+AG517</f>
        <v>0</v>
      </c>
      <c r="BC517" s="30">
        <f>BD517+AS517</f>
        <v>0</v>
      </c>
      <c r="BD517" s="30">
        <f>IF(BA517&gt;0,Y517-BA517,BA517)</f>
        <v>0</v>
      </c>
      <c r="BE517" s="31">
        <v>747.9</v>
      </c>
      <c r="BF517" s="30" t="s">
        <v>57</v>
      </c>
      <c r="BG517" s="31">
        <f>BE517*Q517</f>
        <v>0</v>
      </c>
      <c r="BH517" s="31">
        <f>BE517*R517*0.4</f>
        <v>0</v>
      </c>
      <c r="BI517" s="31"/>
      <c r="BJ517" s="31"/>
      <c r="BK517" s="32">
        <f>Y517*BE517</f>
        <v>0</v>
      </c>
      <c r="BL517" s="35"/>
      <c r="BM517" s="35"/>
      <c r="BN517" s="35"/>
      <c r="BO517" s="35"/>
      <c r="BP517" s="25">
        <f>BE517*AV517</f>
        <v>0</v>
      </c>
      <c r="BQ517" s="25">
        <f>BE517*AX517</f>
        <v>0</v>
      </c>
      <c r="BR517" s="28"/>
      <c r="BS517" s="32"/>
    </row>
    <row r="518" spans="1:71" s="6" customFormat="1" ht="41.25" customHeight="1">
      <c r="A518" s="18">
        <v>515</v>
      </c>
      <c r="B518" s="18" t="s">
        <v>58</v>
      </c>
      <c r="C518" s="33" t="s">
        <v>481</v>
      </c>
      <c r="D518" s="75" t="s">
        <v>482</v>
      </c>
      <c r="E518" s="22" t="s">
        <v>1048</v>
      </c>
      <c r="F518" s="75" t="s">
        <v>482</v>
      </c>
      <c r="G518" s="75"/>
      <c r="H518" s="22"/>
      <c r="I518" s="22"/>
      <c r="J518" s="22"/>
      <c r="K518" s="22"/>
      <c r="L518" s="22"/>
      <c r="M518" s="22"/>
      <c r="N518" s="22" t="s">
        <v>1053</v>
      </c>
      <c r="O518" s="23"/>
      <c r="P518" s="18" t="s">
        <v>56</v>
      </c>
      <c r="Q518" s="72"/>
      <c r="R518" s="72"/>
      <c r="S518" s="35">
        <v>5</v>
      </c>
      <c r="T518" s="26"/>
      <c r="U518" s="26"/>
      <c r="V518" s="35"/>
      <c r="W518" s="154"/>
      <c r="X518" s="35"/>
      <c r="Y518" s="26">
        <f>T518+R518+Q518+U518+W518</f>
        <v>0</v>
      </c>
      <c r="Z518" s="27">
        <v>5</v>
      </c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>
        <f>SUM(AM518:AS518)</f>
        <v>0</v>
      </c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72">
        <f>Y518-AV518-AX518-AW518</f>
        <v>0</v>
      </c>
      <c r="AZ518" s="68"/>
      <c r="BA518" s="26">
        <f>AL518+AG518+AA518+AT518</f>
        <v>0</v>
      </c>
      <c r="BB518" s="30">
        <f>BD518+AO518+AG518</f>
        <v>0</v>
      </c>
      <c r="BC518" s="30">
        <f>BD518+AS518</f>
        <v>0</v>
      </c>
      <c r="BD518" s="30">
        <f>IF(BA518&gt;0,Y518-BA518,BA518)</f>
        <v>0</v>
      </c>
      <c r="BE518" s="31">
        <v>747.9</v>
      </c>
      <c r="BF518" s="30" t="s">
        <v>57</v>
      </c>
      <c r="BG518" s="31">
        <f>BE518*Q518</f>
        <v>0</v>
      </c>
      <c r="BH518" s="31">
        <f>BE518*R518*0.4</f>
        <v>0</v>
      </c>
      <c r="BI518" s="142"/>
      <c r="BJ518" s="142"/>
      <c r="BK518" s="32">
        <f>Y518*BE518</f>
        <v>0</v>
      </c>
      <c r="BL518" s="35"/>
      <c r="BM518" s="35"/>
      <c r="BN518" s="35"/>
      <c r="BO518" s="35"/>
      <c r="BP518" s="25">
        <f>BE518*AV518</f>
        <v>0</v>
      </c>
      <c r="BQ518" s="25">
        <f>BE518*AX518</f>
        <v>0</v>
      </c>
      <c r="BR518" s="26"/>
      <c r="BS518" s="32"/>
    </row>
    <row r="519" spans="1:71" s="6" customFormat="1" ht="41.25" customHeight="1">
      <c r="A519" s="18">
        <v>516</v>
      </c>
      <c r="B519" s="18" t="s">
        <v>58</v>
      </c>
      <c r="C519" s="33" t="s">
        <v>481</v>
      </c>
      <c r="D519" s="75" t="s">
        <v>482</v>
      </c>
      <c r="E519" s="22" t="s">
        <v>1048</v>
      </c>
      <c r="F519" s="75" t="s">
        <v>482</v>
      </c>
      <c r="G519" s="75"/>
      <c r="H519" s="22"/>
      <c r="I519" s="22"/>
      <c r="J519" s="22"/>
      <c r="K519" s="22"/>
      <c r="L519" s="22"/>
      <c r="M519" s="22"/>
      <c r="N519" s="22" t="s">
        <v>1054</v>
      </c>
      <c r="O519" s="23"/>
      <c r="P519" s="18" t="s">
        <v>56</v>
      </c>
      <c r="Q519" s="147"/>
      <c r="R519" s="72"/>
      <c r="S519" s="35">
        <v>5</v>
      </c>
      <c r="T519" s="26"/>
      <c r="U519" s="26"/>
      <c r="V519" s="35"/>
      <c r="W519" s="154"/>
      <c r="X519" s="35"/>
      <c r="Y519" s="26">
        <f>T519+R519+Q519+U519+W519</f>
        <v>0</v>
      </c>
      <c r="Z519" s="27">
        <v>5</v>
      </c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>
        <f>SUM(AM519:AS519)</f>
        <v>0</v>
      </c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72">
        <f>Y519-AV519-AX519-AW519</f>
        <v>0</v>
      </c>
      <c r="AZ519" s="68"/>
      <c r="BA519" s="26">
        <f>AL519+AG519+AA519+AT519</f>
        <v>0</v>
      </c>
      <c r="BB519" s="30">
        <f>BD519+AO519+AG519</f>
        <v>0</v>
      </c>
      <c r="BC519" s="30">
        <f>BD519+AS519</f>
        <v>0</v>
      </c>
      <c r="BD519" s="30">
        <f>IF(BA519&gt;0,Y519-BA519,BA519)</f>
        <v>0</v>
      </c>
      <c r="BE519" s="31">
        <v>747.9</v>
      </c>
      <c r="BF519" s="30" t="s">
        <v>57</v>
      </c>
      <c r="BG519" s="31">
        <f>BE519*Q519</f>
        <v>0</v>
      </c>
      <c r="BH519" s="31">
        <f>BE519*R519*0.4</f>
        <v>0</v>
      </c>
      <c r="BI519" s="142"/>
      <c r="BJ519" s="142"/>
      <c r="BK519" s="32">
        <f>Y519*BE519</f>
        <v>0</v>
      </c>
      <c r="BL519" s="35"/>
      <c r="BM519" s="35"/>
      <c r="BN519" s="35"/>
      <c r="BO519" s="35"/>
      <c r="BP519" s="25">
        <f>BE519*AV519</f>
        <v>0</v>
      </c>
      <c r="BQ519" s="25">
        <f>BE519*AX519</f>
        <v>0</v>
      </c>
      <c r="BR519" s="28"/>
      <c r="BS519" s="32"/>
    </row>
    <row r="520" spans="1:71" s="6" customFormat="1" ht="41.25" customHeight="1">
      <c r="A520" s="18">
        <v>517</v>
      </c>
      <c r="B520" s="18" t="s">
        <v>58</v>
      </c>
      <c r="C520" s="33" t="s">
        <v>481</v>
      </c>
      <c r="D520" s="75" t="s">
        <v>482</v>
      </c>
      <c r="E520" s="22" t="s">
        <v>1055</v>
      </c>
      <c r="F520" s="75" t="s">
        <v>482</v>
      </c>
      <c r="G520" s="75"/>
      <c r="H520" s="22"/>
      <c r="I520" s="22"/>
      <c r="J520" s="22"/>
      <c r="K520" s="22"/>
      <c r="L520" s="22"/>
      <c r="M520" s="22"/>
      <c r="N520" s="22" t="s">
        <v>1056</v>
      </c>
      <c r="O520" s="23"/>
      <c r="P520" s="18" t="s">
        <v>56</v>
      </c>
      <c r="Q520" s="29">
        <v>5</v>
      </c>
      <c r="R520" s="72"/>
      <c r="S520" s="35">
        <v>5</v>
      </c>
      <c r="T520" s="26"/>
      <c r="U520" s="26"/>
      <c r="V520" s="35"/>
      <c r="W520" s="154"/>
      <c r="X520" s="35"/>
      <c r="Y520" s="53">
        <f>T520+R520+Q520+U520+W520</f>
        <v>5</v>
      </c>
      <c r="Z520" s="27">
        <v>5</v>
      </c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>
        <f>SUM(AM520:AS520)</f>
        <v>0</v>
      </c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9">
        <f>Y520-AV520-AX520-AW520</f>
        <v>5</v>
      </c>
      <c r="AZ520" s="29"/>
      <c r="BA520" s="26">
        <f>AL520+AG520+AA520+AT520</f>
        <v>0</v>
      </c>
      <c r="BB520" s="30">
        <f>BD520+AO520+AG520</f>
        <v>0</v>
      </c>
      <c r="BC520" s="30">
        <f>BD520+AS520</f>
        <v>0</v>
      </c>
      <c r="BD520" s="30">
        <f>IF(BA520&gt;0,Y520-BA520,BA520)</f>
        <v>0</v>
      </c>
      <c r="BE520" s="31">
        <v>747.9</v>
      </c>
      <c r="BF520" s="30" t="s">
        <v>57</v>
      </c>
      <c r="BG520" s="31">
        <f>BE520*Q520</f>
        <v>3739.5</v>
      </c>
      <c r="BH520" s="31">
        <f>BE520*R520*0.4</f>
        <v>0</v>
      </c>
      <c r="BI520" s="31"/>
      <c r="BJ520" s="31"/>
      <c r="BK520" s="32">
        <f>Y520*BE520</f>
        <v>3739.5</v>
      </c>
      <c r="BL520" s="35"/>
      <c r="BM520" s="35"/>
      <c r="BN520" s="35"/>
      <c r="BO520" s="35"/>
      <c r="BP520" s="25">
        <f>BE520*AV520</f>
        <v>0</v>
      </c>
      <c r="BQ520" s="25">
        <f>BE520*AX520</f>
        <v>0</v>
      </c>
      <c r="BR520" s="26"/>
      <c r="BS520" s="32"/>
    </row>
    <row r="521" spans="1:71" s="6" customFormat="1" ht="41.25" customHeight="1">
      <c r="A521" s="18">
        <v>518</v>
      </c>
      <c r="B521" s="18" t="s">
        <v>58</v>
      </c>
      <c r="C521" s="33" t="s">
        <v>481</v>
      </c>
      <c r="D521" s="75" t="s">
        <v>482</v>
      </c>
      <c r="E521" s="22" t="s">
        <v>1055</v>
      </c>
      <c r="F521" s="75" t="s">
        <v>482</v>
      </c>
      <c r="G521" s="75"/>
      <c r="H521" s="22"/>
      <c r="I521" s="22"/>
      <c r="J521" s="22"/>
      <c r="K521" s="22"/>
      <c r="L521" s="22"/>
      <c r="M521" s="22"/>
      <c r="N521" s="22" t="s">
        <v>1057</v>
      </c>
      <c r="O521" s="23"/>
      <c r="P521" s="18" t="s">
        <v>56</v>
      </c>
      <c r="Q521" s="72"/>
      <c r="R521" s="72"/>
      <c r="S521" s="35">
        <v>5</v>
      </c>
      <c r="T521" s="26"/>
      <c r="U521" s="26"/>
      <c r="V521" s="35"/>
      <c r="W521" s="154"/>
      <c r="X521" s="35"/>
      <c r="Y521" s="26">
        <f>T521+R521+Q521+U521+W521</f>
        <v>0</v>
      </c>
      <c r="Z521" s="27">
        <v>5</v>
      </c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>
        <f>SUM(AM521:AS521)</f>
        <v>0</v>
      </c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72">
        <f>Y521-AV521-AX521-AW521</f>
        <v>0</v>
      </c>
      <c r="AZ521" s="68"/>
      <c r="BA521" s="26">
        <f>AL521+AG521+AA521+AT521</f>
        <v>0</v>
      </c>
      <c r="BB521" s="30">
        <f>BD521+AO521+AG521</f>
        <v>0</v>
      </c>
      <c r="BC521" s="30">
        <f>BD521+AS521</f>
        <v>0</v>
      </c>
      <c r="BD521" s="30">
        <f>IF(BA521&gt;0,Y521-BA521,BA521)</f>
        <v>0</v>
      </c>
      <c r="BE521" s="31">
        <v>747.9</v>
      </c>
      <c r="BF521" s="30" t="s">
        <v>57</v>
      </c>
      <c r="BG521" s="31">
        <f>BE521*Q521</f>
        <v>0</v>
      </c>
      <c r="BH521" s="31">
        <f>BE521*R521*0.4</f>
        <v>0</v>
      </c>
      <c r="BI521" s="142"/>
      <c r="BJ521" s="142"/>
      <c r="BK521" s="32">
        <f>Y521*BE521</f>
        <v>0</v>
      </c>
      <c r="BL521" s="35"/>
      <c r="BM521" s="35"/>
      <c r="BN521" s="35"/>
      <c r="BO521" s="35"/>
      <c r="BP521" s="25">
        <f>BE521*AV521</f>
        <v>0</v>
      </c>
      <c r="BQ521" s="25">
        <f>BE521*AX521</f>
        <v>0</v>
      </c>
      <c r="BR521" s="28"/>
      <c r="BS521" s="32"/>
    </row>
    <row r="522" spans="1:71" s="6" customFormat="1" ht="41.25" customHeight="1">
      <c r="A522" s="18">
        <v>519</v>
      </c>
      <c r="B522" s="18" t="s">
        <v>58</v>
      </c>
      <c r="C522" s="33" t="s">
        <v>481</v>
      </c>
      <c r="D522" s="75" t="s">
        <v>482</v>
      </c>
      <c r="E522" s="22" t="s">
        <v>1055</v>
      </c>
      <c r="F522" s="75" t="s">
        <v>482</v>
      </c>
      <c r="G522" s="75"/>
      <c r="H522" s="22"/>
      <c r="I522" s="22"/>
      <c r="J522" s="22"/>
      <c r="K522" s="22"/>
      <c r="L522" s="22"/>
      <c r="M522" s="22"/>
      <c r="N522" s="22" t="s">
        <v>1058</v>
      </c>
      <c r="O522" s="23"/>
      <c r="P522" s="18" t="s">
        <v>56</v>
      </c>
      <c r="Q522" s="72"/>
      <c r="R522" s="72"/>
      <c r="S522" s="35">
        <v>5</v>
      </c>
      <c r="T522" s="26"/>
      <c r="U522" s="26"/>
      <c r="V522" s="35"/>
      <c r="W522" s="154"/>
      <c r="X522" s="35"/>
      <c r="Y522" s="26">
        <f>T522+R522+Q522+U522+W522</f>
        <v>0</v>
      </c>
      <c r="Z522" s="27">
        <v>5</v>
      </c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>
        <f>SUM(AM522:AS522)</f>
        <v>0</v>
      </c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72">
        <f>Y522-AV522-AX522-AW522</f>
        <v>0</v>
      </c>
      <c r="AZ522" s="68"/>
      <c r="BA522" s="26">
        <f>AL522+AG522+AA522+AT522</f>
        <v>0</v>
      </c>
      <c r="BB522" s="30">
        <f>BD522+AO522+AG522</f>
        <v>0</v>
      </c>
      <c r="BC522" s="30">
        <f>BD522+AS522</f>
        <v>0</v>
      </c>
      <c r="BD522" s="30">
        <f>IF(BA522&gt;0,Y522-BA522,BA522)</f>
        <v>0</v>
      </c>
      <c r="BE522" s="31">
        <v>747.9</v>
      </c>
      <c r="BF522" s="30" t="s">
        <v>57</v>
      </c>
      <c r="BG522" s="31">
        <f>BE522*Q522</f>
        <v>0</v>
      </c>
      <c r="BH522" s="31">
        <f>BE522*R522*0.4</f>
        <v>0</v>
      </c>
      <c r="BI522" s="142"/>
      <c r="BJ522" s="142"/>
      <c r="BK522" s="32">
        <f>Y522*BE522</f>
        <v>0</v>
      </c>
      <c r="BL522" s="35"/>
      <c r="BM522" s="35"/>
      <c r="BN522" s="35"/>
      <c r="BO522" s="35"/>
      <c r="BP522" s="25">
        <f>BE522*AV522</f>
        <v>0</v>
      </c>
      <c r="BQ522" s="25">
        <f>BE522*AX522</f>
        <v>0</v>
      </c>
      <c r="BR522" s="26"/>
      <c r="BS522" s="32"/>
    </row>
    <row r="523" spans="1:71" s="6" customFormat="1" ht="41.25" customHeight="1">
      <c r="A523" s="18">
        <v>520</v>
      </c>
      <c r="B523" s="18" t="s">
        <v>58</v>
      </c>
      <c r="C523" s="33" t="s">
        <v>481</v>
      </c>
      <c r="D523" s="75" t="s">
        <v>482</v>
      </c>
      <c r="E523" s="22" t="s">
        <v>1055</v>
      </c>
      <c r="F523" s="75" t="s">
        <v>482</v>
      </c>
      <c r="G523" s="75"/>
      <c r="H523" s="22"/>
      <c r="I523" s="22"/>
      <c r="J523" s="22"/>
      <c r="K523" s="22"/>
      <c r="L523" s="22"/>
      <c r="M523" s="22"/>
      <c r="N523" s="22" t="s">
        <v>1059</v>
      </c>
      <c r="O523" s="23"/>
      <c r="P523" s="18" t="s">
        <v>56</v>
      </c>
      <c r="Q523" s="72"/>
      <c r="R523" s="72"/>
      <c r="S523" s="35">
        <v>5</v>
      </c>
      <c r="T523" s="26"/>
      <c r="U523" s="26"/>
      <c r="V523" s="35"/>
      <c r="W523" s="154"/>
      <c r="X523" s="35"/>
      <c r="Y523" s="26">
        <f>T523+R523+Q523+U523+W523</f>
        <v>0</v>
      </c>
      <c r="Z523" s="27">
        <v>5</v>
      </c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>
        <f>SUM(AM523:AS523)</f>
        <v>0</v>
      </c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72">
        <f>Y523-AV523-AX523-AW523</f>
        <v>0</v>
      </c>
      <c r="AZ523" s="68"/>
      <c r="BA523" s="26">
        <f>AL523+AG523+AA523+AT523</f>
        <v>0</v>
      </c>
      <c r="BB523" s="30">
        <f>BD523+AO523+AG523</f>
        <v>0</v>
      </c>
      <c r="BC523" s="30">
        <f>BD523+AS523</f>
        <v>0</v>
      </c>
      <c r="BD523" s="30">
        <f>IF(BA523&gt;0,Y523-BA523,BA523)</f>
        <v>0</v>
      </c>
      <c r="BE523" s="31">
        <v>747.9</v>
      </c>
      <c r="BF523" s="30" t="s">
        <v>57</v>
      </c>
      <c r="BG523" s="31">
        <f>BE523*Q523</f>
        <v>0</v>
      </c>
      <c r="BH523" s="31">
        <f>BE523*R523*0.4</f>
        <v>0</v>
      </c>
      <c r="BI523" s="142"/>
      <c r="BJ523" s="142"/>
      <c r="BK523" s="32">
        <f>Y523*BE523</f>
        <v>0</v>
      </c>
      <c r="BL523" s="35"/>
      <c r="BM523" s="35"/>
      <c r="BN523" s="35"/>
      <c r="BO523" s="35"/>
      <c r="BP523" s="25">
        <f>BE523*AV523</f>
        <v>0</v>
      </c>
      <c r="BQ523" s="25">
        <f>BE523*AX523</f>
        <v>0</v>
      </c>
      <c r="BR523" s="28"/>
      <c r="BS523" s="32"/>
    </row>
    <row r="524" spans="1:71" s="6" customFormat="1" ht="41.25" customHeight="1">
      <c r="A524" s="18">
        <v>521</v>
      </c>
      <c r="B524" s="18" t="s">
        <v>58</v>
      </c>
      <c r="C524" s="33" t="s">
        <v>481</v>
      </c>
      <c r="D524" s="75" t="s">
        <v>482</v>
      </c>
      <c r="E524" s="22" t="s">
        <v>1055</v>
      </c>
      <c r="F524" s="75" t="s">
        <v>482</v>
      </c>
      <c r="G524" s="75"/>
      <c r="H524" s="22"/>
      <c r="I524" s="22"/>
      <c r="J524" s="22"/>
      <c r="K524" s="22"/>
      <c r="L524" s="22"/>
      <c r="M524" s="22"/>
      <c r="N524" s="22" t="s">
        <v>1060</v>
      </c>
      <c r="O524" s="23"/>
      <c r="P524" s="18" t="s">
        <v>56</v>
      </c>
      <c r="Q524" s="72"/>
      <c r="R524" s="72"/>
      <c r="S524" s="35">
        <v>5</v>
      </c>
      <c r="T524" s="26"/>
      <c r="U524" s="26"/>
      <c r="V524" s="35"/>
      <c r="W524" s="154"/>
      <c r="X524" s="35"/>
      <c r="Y524" s="26">
        <f>T524+R524+Q524+U524+W524</f>
        <v>0</v>
      </c>
      <c r="Z524" s="27">
        <v>5</v>
      </c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>
        <f>SUM(AM524:AS524)</f>
        <v>0</v>
      </c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72">
        <f>Y524-AV524-AX524-AW524</f>
        <v>0</v>
      </c>
      <c r="AZ524" s="68"/>
      <c r="BA524" s="26">
        <f>AL524+AG524+AA524+AT524</f>
        <v>0</v>
      </c>
      <c r="BB524" s="30">
        <f>BD524+AO524+AG524</f>
        <v>0</v>
      </c>
      <c r="BC524" s="30">
        <f>BD524+AS524</f>
        <v>0</v>
      </c>
      <c r="BD524" s="30">
        <f>IF(BA524&gt;0,Y524-BA524,BA524)</f>
        <v>0</v>
      </c>
      <c r="BE524" s="31">
        <v>747.9</v>
      </c>
      <c r="BF524" s="30" t="s">
        <v>57</v>
      </c>
      <c r="BG524" s="31">
        <f>BE524*Q524</f>
        <v>0</v>
      </c>
      <c r="BH524" s="31">
        <f>BE524*R524*0.4</f>
        <v>0</v>
      </c>
      <c r="BI524" s="31"/>
      <c r="BJ524" s="31"/>
      <c r="BK524" s="32">
        <f>Y524*BE524</f>
        <v>0</v>
      </c>
      <c r="BL524" s="35"/>
      <c r="BM524" s="35"/>
      <c r="BN524" s="35"/>
      <c r="BO524" s="35"/>
      <c r="BP524" s="25">
        <f>BE524*AV524</f>
        <v>0</v>
      </c>
      <c r="BQ524" s="25">
        <f>BE524*AX524</f>
        <v>0</v>
      </c>
      <c r="BR524" s="26"/>
      <c r="BS524" s="32"/>
    </row>
    <row r="525" spans="1:71" s="6" customFormat="1" ht="41.25" customHeight="1">
      <c r="A525" s="18">
        <v>522</v>
      </c>
      <c r="B525" s="18" t="s">
        <v>58</v>
      </c>
      <c r="C525" s="33" t="s">
        <v>481</v>
      </c>
      <c r="D525" s="75" t="s">
        <v>482</v>
      </c>
      <c r="E525" s="22" t="s">
        <v>1055</v>
      </c>
      <c r="F525" s="75" t="s">
        <v>482</v>
      </c>
      <c r="G525" s="75"/>
      <c r="H525" s="22"/>
      <c r="I525" s="22"/>
      <c r="J525" s="22"/>
      <c r="K525" s="22"/>
      <c r="L525" s="22"/>
      <c r="M525" s="22"/>
      <c r="N525" s="22" t="s">
        <v>1061</v>
      </c>
      <c r="O525" s="23"/>
      <c r="P525" s="18" t="s">
        <v>56</v>
      </c>
      <c r="Q525" s="72"/>
      <c r="R525" s="72"/>
      <c r="S525" s="35">
        <v>5</v>
      </c>
      <c r="T525" s="26"/>
      <c r="U525" s="26"/>
      <c r="V525" s="35"/>
      <c r="W525" s="154"/>
      <c r="X525" s="35"/>
      <c r="Y525" s="26">
        <f>T525+R525+Q525+U525+W525</f>
        <v>0</v>
      </c>
      <c r="Z525" s="27">
        <v>5</v>
      </c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>
        <f>SUM(AM525:AS525)</f>
        <v>0</v>
      </c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72">
        <f>Y525-AV525-AX525-AW525</f>
        <v>0</v>
      </c>
      <c r="AZ525" s="68"/>
      <c r="BA525" s="26">
        <f>AL525+AG525+AA525+AT525</f>
        <v>0</v>
      </c>
      <c r="BB525" s="30">
        <f>BD525+AO525+AG525</f>
        <v>0</v>
      </c>
      <c r="BC525" s="30">
        <f>BD525+AS525</f>
        <v>0</v>
      </c>
      <c r="BD525" s="30">
        <f>IF(BA525&gt;0,Y525-BA525,BA525)</f>
        <v>0</v>
      </c>
      <c r="BE525" s="31">
        <v>747.9</v>
      </c>
      <c r="BF525" s="30" t="s">
        <v>57</v>
      </c>
      <c r="BG525" s="31">
        <f>BE525*Q525</f>
        <v>0</v>
      </c>
      <c r="BH525" s="31">
        <f>BE525*R525*0.4</f>
        <v>0</v>
      </c>
      <c r="BI525" s="142"/>
      <c r="BJ525" s="142"/>
      <c r="BK525" s="32">
        <f>Y525*BE525</f>
        <v>0</v>
      </c>
      <c r="BL525" s="35"/>
      <c r="BM525" s="35"/>
      <c r="BN525" s="35"/>
      <c r="BO525" s="35"/>
      <c r="BP525" s="25">
        <f>BE525*AV525</f>
        <v>0</v>
      </c>
      <c r="BQ525" s="25">
        <f>BE525*AX525</f>
        <v>0</v>
      </c>
      <c r="BR525" s="26"/>
      <c r="BS525" s="32"/>
    </row>
    <row r="526" spans="1:71" s="6" customFormat="1" ht="41.25" customHeight="1">
      <c r="A526" s="18">
        <v>523</v>
      </c>
      <c r="B526" s="18" t="s">
        <v>58</v>
      </c>
      <c r="C526" s="33" t="s">
        <v>481</v>
      </c>
      <c r="D526" s="75" t="s">
        <v>482</v>
      </c>
      <c r="E526" s="22" t="s">
        <v>1062</v>
      </c>
      <c r="F526" s="75" t="s">
        <v>482</v>
      </c>
      <c r="G526" s="75"/>
      <c r="H526" s="22"/>
      <c r="I526" s="22"/>
      <c r="J526" s="22"/>
      <c r="K526" s="22"/>
      <c r="L526" s="22"/>
      <c r="M526" s="22"/>
      <c r="N526" s="22" t="s">
        <v>1063</v>
      </c>
      <c r="O526" s="23"/>
      <c r="P526" s="18" t="s">
        <v>56</v>
      </c>
      <c r="Q526" s="72"/>
      <c r="R526" s="72"/>
      <c r="S526" s="35">
        <v>5</v>
      </c>
      <c r="T526" s="26"/>
      <c r="U526" s="26"/>
      <c r="V526" s="35"/>
      <c r="W526" s="154"/>
      <c r="X526" s="35"/>
      <c r="Y526" s="26">
        <f>T526+R526+Q526+U526+W526</f>
        <v>0</v>
      </c>
      <c r="Z526" s="27">
        <v>5</v>
      </c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>
        <f>SUM(AM526:AS526)</f>
        <v>0</v>
      </c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72">
        <f>Y526-AV526-AX526-AW526</f>
        <v>0</v>
      </c>
      <c r="AZ526" s="68"/>
      <c r="BA526" s="26">
        <f>AL526+AG526+AA526+AT526</f>
        <v>0</v>
      </c>
      <c r="BB526" s="30">
        <f>BD526+AO526+AG526</f>
        <v>0</v>
      </c>
      <c r="BC526" s="30">
        <f>BD526+AS526</f>
        <v>0</v>
      </c>
      <c r="BD526" s="30">
        <f>IF(BA526&gt;0,Y526-BA526,BA526)</f>
        <v>0</v>
      </c>
      <c r="BE526" s="31">
        <v>747.9</v>
      </c>
      <c r="BF526" s="30" t="s">
        <v>57</v>
      </c>
      <c r="BG526" s="31">
        <f>BE526*Q526</f>
        <v>0</v>
      </c>
      <c r="BH526" s="31">
        <f>BE526*R526*0.4</f>
        <v>0</v>
      </c>
      <c r="BI526" s="142"/>
      <c r="BJ526" s="142"/>
      <c r="BK526" s="32">
        <f>Y526*BE526</f>
        <v>0</v>
      </c>
      <c r="BL526" s="35"/>
      <c r="BM526" s="35"/>
      <c r="BN526" s="35"/>
      <c r="BO526" s="35"/>
      <c r="BP526" s="25">
        <f>BE526*AV526</f>
        <v>0</v>
      </c>
      <c r="BQ526" s="25">
        <f>BE526*AX526</f>
        <v>0</v>
      </c>
      <c r="BR526" s="28"/>
      <c r="BS526" s="32"/>
    </row>
    <row r="527" spans="1:71" s="6" customFormat="1" ht="41.25" customHeight="1">
      <c r="A527" s="18">
        <v>524</v>
      </c>
      <c r="B527" s="18" t="s">
        <v>58</v>
      </c>
      <c r="C527" s="33" t="s">
        <v>481</v>
      </c>
      <c r="D527" s="75" t="s">
        <v>482</v>
      </c>
      <c r="E527" s="22" t="s">
        <v>1062</v>
      </c>
      <c r="F527" s="75" t="s">
        <v>482</v>
      </c>
      <c r="G527" s="75"/>
      <c r="H527" s="22"/>
      <c r="I527" s="22"/>
      <c r="J527" s="22"/>
      <c r="K527" s="22"/>
      <c r="L527" s="22"/>
      <c r="M527" s="22"/>
      <c r="N527" s="22" t="s">
        <v>1064</v>
      </c>
      <c r="O527" s="23"/>
      <c r="P527" s="18" t="s">
        <v>56</v>
      </c>
      <c r="Q527" s="72"/>
      <c r="R527" s="72"/>
      <c r="S527" s="35">
        <v>5</v>
      </c>
      <c r="T527" s="26"/>
      <c r="U527" s="26"/>
      <c r="V527" s="35"/>
      <c r="W527" s="154"/>
      <c r="X527" s="35"/>
      <c r="Y527" s="26">
        <f>T527+R527+Q527+U527+W527</f>
        <v>0</v>
      </c>
      <c r="Z527" s="27">
        <v>5</v>
      </c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>
        <f>SUM(AM527:AS527)</f>
        <v>0</v>
      </c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72">
        <f>Y527-AV527-AX527-AW527</f>
        <v>0</v>
      </c>
      <c r="AZ527" s="68"/>
      <c r="BA527" s="26">
        <f>AL527+AG527+AA527+AT527</f>
        <v>0</v>
      </c>
      <c r="BB527" s="30">
        <f>BD527+AO527+AG527</f>
        <v>0</v>
      </c>
      <c r="BC527" s="30">
        <f>BD527+AS527</f>
        <v>0</v>
      </c>
      <c r="BD527" s="30">
        <f>IF(BA527&gt;0,Y527-BA527,BA527)</f>
        <v>0</v>
      </c>
      <c r="BE527" s="31">
        <v>747.9</v>
      </c>
      <c r="BF527" s="30" t="s">
        <v>57</v>
      </c>
      <c r="BG527" s="31">
        <f>BE527*Q527</f>
        <v>0</v>
      </c>
      <c r="BH527" s="31">
        <f>BE527*R527*0.4</f>
        <v>0</v>
      </c>
      <c r="BI527" s="142"/>
      <c r="BJ527" s="142"/>
      <c r="BK527" s="32">
        <f>Y527*BE527</f>
        <v>0</v>
      </c>
      <c r="BL527" s="35"/>
      <c r="BM527" s="35"/>
      <c r="BN527" s="35"/>
      <c r="BO527" s="35"/>
      <c r="BP527" s="25">
        <f>BE527*AV527</f>
        <v>0</v>
      </c>
      <c r="BQ527" s="25">
        <f>BE527*AX527</f>
        <v>0</v>
      </c>
      <c r="BR527" s="26"/>
      <c r="BS527" s="32"/>
    </row>
    <row r="528" spans="1:71" s="6" customFormat="1" ht="41.25" customHeight="1">
      <c r="A528" s="18">
        <v>525</v>
      </c>
      <c r="B528" s="18" t="s">
        <v>58</v>
      </c>
      <c r="C528" s="33" t="s">
        <v>481</v>
      </c>
      <c r="D528" s="75" t="s">
        <v>482</v>
      </c>
      <c r="E528" s="22" t="s">
        <v>1062</v>
      </c>
      <c r="F528" s="75" t="s">
        <v>482</v>
      </c>
      <c r="G528" s="75"/>
      <c r="H528" s="22"/>
      <c r="I528" s="22"/>
      <c r="J528" s="22"/>
      <c r="K528" s="22"/>
      <c r="L528" s="22"/>
      <c r="M528" s="22"/>
      <c r="N528" s="22" t="s">
        <v>1065</v>
      </c>
      <c r="O528" s="23"/>
      <c r="P528" s="18" t="s">
        <v>56</v>
      </c>
      <c r="Q528" s="29">
        <v>5</v>
      </c>
      <c r="R528" s="72"/>
      <c r="S528" s="35">
        <v>5</v>
      </c>
      <c r="T528" s="26"/>
      <c r="U528" s="26"/>
      <c r="V528" s="35"/>
      <c r="W528" s="154"/>
      <c r="X528" s="35"/>
      <c r="Y528" s="53">
        <f>T528+R528+Q528+U528+W528</f>
        <v>5</v>
      </c>
      <c r="Z528" s="27">
        <v>5</v>
      </c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>
        <f>SUM(AM528:AS528)</f>
        <v>0</v>
      </c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9">
        <f>Y528-AV528-AX528-AW528</f>
        <v>5</v>
      </c>
      <c r="AZ528" s="29"/>
      <c r="BA528" s="26">
        <f>AL528+AG528+AA528+AT528</f>
        <v>0</v>
      </c>
      <c r="BB528" s="30">
        <f>BD528+AO528+AG528</f>
        <v>0</v>
      </c>
      <c r="BC528" s="30">
        <f>BD528+AS528</f>
        <v>0</v>
      </c>
      <c r="BD528" s="30">
        <f>IF(BA528&gt;0,Y528-BA528,BA528)</f>
        <v>0</v>
      </c>
      <c r="BE528" s="31">
        <v>747.9</v>
      </c>
      <c r="BF528" s="30" t="s">
        <v>57</v>
      </c>
      <c r="BG528" s="31">
        <f>BE528*Q528</f>
        <v>3739.5</v>
      </c>
      <c r="BH528" s="31">
        <f>BE528*R528*0.4</f>
        <v>0</v>
      </c>
      <c r="BI528" s="142"/>
      <c r="BJ528" s="142"/>
      <c r="BK528" s="32">
        <f>Y528*BE528</f>
        <v>3739.5</v>
      </c>
      <c r="BL528" s="35"/>
      <c r="BM528" s="35"/>
      <c r="BN528" s="35"/>
      <c r="BO528" s="35"/>
      <c r="BP528" s="25">
        <f>BE528*AV528</f>
        <v>0</v>
      </c>
      <c r="BQ528" s="25">
        <f>BE528*AX528</f>
        <v>0</v>
      </c>
      <c r="BR528" s="26"/>
      <c r="BS528" s="32"/>
    </row>
    <row r="529" spans="1:71" s="6" customFormat="1" ht="41.25" customHeight="1">
      <c r="A529" s="18">
        <v>526</v>
      </c>
      <c r="B529" s="18" t="s">
        <v>58</v>
      </c>
      <c r="C529" s="33" t="s">
        <v>481</v>
      </c>
      <c r="D529" s="75" t="s">
        <v>482</v>
      </c>
      <c r="E529" s="22" t="s">
        <v>1062</v>
      </c>
      <c r="F529" s="75" t="s">
        <v>482</v>
      </c>
      <c r="G529" s="75"/>
      <c r="H529" s="22"/>
      <c r="I529" s="22"/>
      <c r="J529" s="22"/>
      <c r="K529" s="22"/>
      <c r="L529" s="22"/>
      <c r="M529" s="22"/>
      <c r="N529" s="22" t="s">
        <v>1066</v>
      </c>
      <c r="O529" s="23"/>
      <c r="P529" s="18" t="s">
        <v>56</v>
      </c>
      <c r="Q529" s="72"/>
      <c r="R529" s="72"/>
      <c r="S529" s="35">
        <v>5</v>
      </c>
      <c r="T529" s="26"/>
      <c r="U529" s="26"/>
      <c r="V529" s="35"/>
      <c r="W529" s="154"/>
      <c r="X529" s="35"/>
      <c r="Y529" s="26">
        <f>T529+R529+Q529+U529+W529</f>
        <v>0</v>
      </c>
      <c r="Z529" s="27">
        <v>5</v>
      </c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>
        <f>SUM(AM529:AS529)</f>
        <v>0</v>
      </c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72">
        <f>Y529-AV529-AX529-AW529</f>
        <v>0</v>
      </c>
      <c r="AZ529" s="68"/>
      <c r="BA529" s="26">
        <f>AL529+AG529+AA529+AT529</f>
        <v>0</v>
      </c>
      <c r="BB529" s="30">
        <f>BD529+AO529+AG529</f>
        <v>0</v>
      </c>
      <c r="BC529" s="30">
        <f>BD529+AS529</f>
        <v>0</v>
      </c>
      <c r="BD529" s="30">
        <f>IF(BA529&gt;0,Y529-BA529,BA529)</f>
        <v>0</v>
      </c>
      <c r="BE529" s="31">
        <v>747.9</v>
      </c>
      <c r="BF529" s="30" t="s">
        <v>57</v>
      </c>
      <c r="BG529" s="31">
        <f>BE529*Q529</f>
        <v>0</v>
      </c>
      <c r="BH529" s="31">
        <f>BE529*R529*0.4</f>
        <v>0</v>
      </c>
      <c r="BI529" s="142"/>
      <c r="BJ529" s="142"/>
      <c r="BK529" s="32">
        <f>Y529*BE529</f>
        <v>0</v>
      </c>
      <c r="BL529" s="35"/>
      <c r="BM529" s="35"/>
      <c r="BN529" s="35"/>
      <c r="BO529" s="35"/>
      <c r="BP529" s="25">
        <f>BE529*AV529</f>
        <v>0</v>
      </c>
      <c r="BQ529" s="25">
        <f>BE529*AX529</f>
        <v>0</v>
      </c>
      <c r="BR529" s="26"/>
      <c r="BS529" s="32"/>
    </row>
    <row r="530" spans="1:71" s="6" customFormat="1" ht="41.25" customHeight="1">
      <c r="A530" s="18">
        <v>527</v>
      </c>
      <c r="B530" s="18" t="s">
        <v>58</v>
      </c>
      <c r="C530" s="33" t="s">
        <v>481</v>
      </c>
      <c r="D530" s="75" t="s">
        <v>482</v>
      </c>
      <c r="E530" s="22" t="s">
        <v>1062</v>
      </c>
      <c r="F530" s="75" t="s">
        <v>482</v>
      </c>
      <c r="G530" s="75"/>
      <c r="H530" s="22"/>
      <c r="I530" s="22"/>
      <c r="J530" s="22"/>
      <c r="K530" s="22"/>
      <c r="L530" s="22"/>
      <c r="M530" s="22"/>
      <c r="N530" s="22" t="s">
        <v>1067</v>
      </c>
      <c r="O530" s="23"/>
      <c r="P530" s="18" t="s">
        <v>56</v>
      </c>
      <c r="Q530" s="72"/>
      <c r="R530" s="72"/>
      <c r="S530" s="35">
        <v>5</v>
      </c>
      <c r="T530" s="26"/>
      <c r="U530" s="26"/>
      <c r="V530" s="35"/>
      <c r="W530" s="154"/>
      <c r="X530" s="35"/>
      <c r="Y530" s="26">
        <f>T530+R530+Q530+U530+W530</f>
        <v>0</v>
      </c>
      <c r="Z530" s="27">
        <v>5</v>
      </c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>
        <f>SUM(AM530:AS530)</f>
        <v>0</v>
      </c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72">
        <f>Y530-AV530-AX530-AW530</f>
        <v>0</v>
      </c>
      <c r="AZ530" s="68"/>
      <c r="BA530" s="26">
        <f>AL530+AG530+AA530+AT530</f>
        <v>0</v>
      </c>
      <c r="BB530" s="30">
        <f>BD530+AO530+AG530</f>
        <v>0</v>
      </c>
      <c r="BC530" s="30">
        <f>BD530+AS530</f>
        <v>0</v>
      </c>
      <c r="BD530" s="30">
        <f>IF(BA530&gt;0,Y530-BA530,BA530)</f>
        <v>0</v>
      </c>
      <c r="BE530" s="31">
        <v>747.9</v>
      </c>
      <c r="BF530" s="30" t="s">
        <v>57</v>
      </c>
      <c r="BG530" s="31">
        <f>BE530*Q530</f>
        <v>0</v>
      </c>
      <c r="BH530" s="31">
        <f>BE530*R530*0.4</f>
        <v>0</v>
      </c>
      <c r="BI530" s="142"/>
      <c r="BJ530" s="142"/>
      <c r="BK530" s="32">
        <f>Y530*BE530</f>
        <v>0</v>
      </c>
      <c r="BL530" s="35"/>
      <c r="BM530" s="35"/>
      <c r="BN530" s="35"/>
      <c r="BO530" s="35"/>
      <c r="BP530" s="25">
        <f>BE530*AV530</f>
        <v>0</v>
      </c>
      <c r="BQ530" s="25">
        <f>BE530*AX530</f>
        <v>0</v>
      </c>
      <c r="BR530" s="26"/>
      <c r="BS530" s="32"/>
    </row>
    <row r="531" spans="1:71" s="6" customFormat="1" ht="41.25" customHeight="1">
      <c r="A531" s="18">
        <v>528</v>
      </c>
      <c r="B531" s="18" t="s">
        <v>58</v>
      </c>
      <c r="C531" s="33" t="s">
        <v>481</v>
      </c>
      <c r="D531" s="75" t="s">
        <v>482</v>
      </c>
      <c r="E531" s="20" t="s">
        <v>1062</v>
      </c>
      <c r="F531" s="75" t="s">
        <v>482</v>
      </c>
      <c r="G531" s="75"/>
      <c r="H531" s="22"/>
      <c r="I531" s="22"/>
      <c r="J531" s="22"/>
      <c r="K531" s="22"/>
      <c r="L531" s="20" t="s">
        <v>53</v>
      </c>
      <c r="M531" s="22"/>
      <c r="N531" s="22" t="s">
        <v>1068</v>
      </c>
      <c r="O531" s="23"/>
      <c r="P531" s="18" t="s">
        <v>56</v>
      </c>
      <c r="Q531" s="148">
        <v>50</v>
      </c>
      <c r="R531" s="72"/>
      <c r="S531" s="35">
        <v>5</v>
      </c>
      <c r="T531" s="26"/>
      <c r="U531" s="26"/>
      <c r="V531" s="35"/>
      <c r="W531" s="154"/>
      <c r="X531" s="35"/>
      <c r="Y531" s="53">
        <f>T531+R531+Q531+U531+W531</f>
        <v>50</v>
      </c>
      <c r="Z531" s="27">
        <v>5</v>
      </c>
      <c r="AA531" s="26"/>
      <c r="AB531" s="26"/>
      <c r="AC531" s="26"/>
      <c r="AD531" s="26"/>
      <c r="AE531" s="26"/>
      <c r="AF531" s="26"/>
      <c r="AG531" s="57">
        <f>SUBTOTAL(9,AH531:AK531)</f>
        <v>23</v>
      </c>
      <c r="AH531" s="26"/>
      <c r="AI531" s="26"/>
      <c r="AJ531" s="57">
        <v>23</v>
      </c>
      <c r="AK531" s="26"/>
      <c r="AL531" s="26">
        <f>SUM(AM531:AS531)</f>
        <v>0</v>
      </c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9">
        <f>Y531-AV531-AX531-AW531</f>
        <v>50</v>
      </c>
      <c r="AZ531" s="29"/>
      <c r="BA531" s="26">
        <f>AL531+AG531+AA531+AT531</f>
        <v>23</v>
      </c>
      <c r="BB531" s="30">
        <f>BD531+AO531+AG531</f>
        <v>50</v>
      </c>
      <c r="BC531" s="30">
        <f>BD531+AS531</f>
        <v>27</v>
      </c>
      <c r="BD531" s="30">
        <f>IF(BA531&gt;0,Y531-BA531,BA531)</f>
        <v>27</v>
      </c>
      <c r="BE531" s="31">
        <v>747.9</v>
      </c>
      <c r="BF531" s="30" t="s">
        <v>57</v>
      </c>
      <c r="BG531" s="31">
        <f>BE531*Q531</f>
        <v>37395</v>
      </c>
      <c r="BH531" s="31">
        <f>BE531*R531*0.4</f>
        <v>0</v>
      </c>
      <c r="BI531" s="142"/>
      <c r="BJ531" s="142"/>
      <c r="BK531" s="32">
        <f>Y531*BE531</f>
        <v>37395</v>
      </c>
      <c r="BL531" s="35"/>
      <c r="BM531" s="35"/>
      <c r="BN531" s="35"/>
      <c r="BO531" s="35"/>
      <c r="BP531" s="25">
        <f>BE531*AV531</f>
        <v>0</v>
      </c>
      <c r="BQ531" s="25">
        <f>BE531*AX531</f>
        <v>0</v>
      </c>
      <c r="BR531" s="26"/>
      <c r="BS531" s="32"/>
    </row>
    <row r="532" spans="1:71" s="6" customFormat="1" ht="41.25" customHeight="1">
      <c r="A532" s="18">
        <v>529</v>
      </c>
      <c r="B532" s="18" t="s">
        <v>58</v>
      </c>
      <c r="C532" s="33" t="s">
        <v>481</v>
      </c>
      <c r="D532" s="75" t="s">
        <v>482</v>
      </c>
      <c r="E532" s="22" t="s">
        <v>1069</v>
      </c>
      <c r="F532" s="75" t="s">
        <v>482</v>
      </c>
      <c r="G532" s="75"/>
      <c r="H532" s="22"/>
      <c r="I532" s="22"/>
      <c r="J532" s="22"/>
      <c r="K532" s="22"/>
      <c r="L532" s="22"/>
      <c r="M532" s="22"/>
      <c r="N532" s="22" t="s">
        <v>1070</v>
      </c>
      <c r="O532" s="23"/>
      <c r="P532" s="18" t="s">
        <v>56</v>
      </c>
      <c r="Q532" s="72"/>
      <c r="R532" s="72"/>
      <c r="S532" s="35">
        <v>5</v>
      </c>
      <c r="T532" s="26"/>
      <c r="U532" s="26"/>
      <c r="V532" s="35"/>
      <c r="W532" s="154"/>
      <c r="X532" s="35"/>
      <c r="Y532" s="26">
        <f>T532+R532+Q532+U532+W532</f>
        <v>0</v>
      </c>
      <c r="Z532" s="27">
        <v>5</v>
      </c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>
        <f>SUM(AM532:AS532)</f>
        <v>0</v>
      </c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72">
        <f>Y532-AV532-AX532-AW532</f>
        <v>0</v>
      </c>
      <c r="AZ532" s="68"/>
      <c r="BA532" s="26">
        <f>AL532+AG532+AA532+AT532</f>
        <v>0</v>
      </c>
      <c r="BB532" s="30">
        <f>BD532+AO532+AG532</f>
        <v>0</v>
      </c>
      <c r="BC532" s="30">
        <f>BD532+AS532</f>
        <v>0</v>
      </c>
      <c r="BD532" s="30">
        <f>IF(BA532&gt;0,Y532-BA532,BA532)</f>
        <v>0</v>
      </c>
      <c r="BE532" s="31">
        <v>747.9</v>
      </c>
      <c r="BF532" s="30" t="s">
        <v>57</v>
      </c>
      <c r="BG532" s="31">
        <f>BE532*Q532</f>
        <v>0</v>
      </c>
      <c r="BH532" s="31">
        <f>BE532*R532*0.4</f>
        <v>0</v>
      </c>
      <c r="BI532" s="142"/>
      <c r="BJ532" s="142"/>
      <c r="BK532" s="32">
        <f>Y532*BE532</f>
        <v>0</v>
      </c>
      <c r="BL532" s="35"/>
      <c r="BM532" s="35"/>
      <c r="BN532" s="35"/>
      <c r="BO532" s="35"/>
      <c r="BP532" s="25">
        <f>BE532*AV532</f>
        <v>0</v>
      </c>
      <c r="BQ532" s="25">
        <f>BE532*AX532</f>
        <v>0</v>
      </c>
      <c r="BR532" s="26"/>
      <c r="BS532" s="32"/>
    </row>
    <row r="533" spans="1:71" s="6" customFormat="1" ht="41.25" customHeight="1">
      <c r="A533" s="18">
        <v>530</v>
      </c>
      <c r="B533" s="18" t="s">
        <v>58</v>
      </c>
      <c r="C533" s="33" t="s">
        <v>481</v>
      </c>
      <c r="D533" s="75" t="s">
        <v>482</v>
      </c>
      <c r="E533" s="22" t="s">
        <v>1069</v>
      </c>
      <c r="F533" s="75" t="s">
        <v>482</v>
      </c>
      <c r="G533" s="75"/>
      <c r="H533" s="22"/>
      <c r="I533" s="22"/>
      <c r="J533" s="22"/>
      <c r="K533" s="22"/>
      <c r="L533" s="22"/>
      <c r="M533" s="22"/>
      <c r="N533" s="22" t="s">
        <v>1071</v>
      </c>
      <c r="O533" s="23"/>
      <c r="P533" s="18" t="s">
        <v>56</v>
      </c>
      <c r="Q533" s="29">
        <v>5</v>
      </c>
      <c r="R533" s="72"/>
      <c r="S533" s="35">
        <v>5</v>
      </c>
      <c r="T533" s="26"/>
      <c r="U533" s="26"/>
      <c r="V533" s="35"/>
      <c r="W533" s="154"/>
      <c r="X533" s="35"/>
      <c r="Y533" s="53">
        <f>T533+R533+Q533+U533+W533</f>
        <v>5</v>
      </c>
      <c r="Z533" s="27">
        <v>5</v>
      </c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>
        <f>SUM(AM533:AS533)</f>
        <v>0</v>
      </c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9">
        <f>Y533-AV533-AX533-AW533</f>
        <v>5</v>
      </c>
      <c r="AZ533" s="29"/>
      <c r="BA533" s="26">
        <f>AL533+AG533+AA533+AT533</f>
        <v>0</v>
      </c>
      <c r="BB533" s="30">
        <f>BD533+AO533+AG533</f>
        <v>0</v>
      </c>
      <c r="BC533" s="30">
        <f>BD533+AS533</f>
        <v>0</v>
      </c>
      <c r="BD533" s="30">
        <f>IF(BA533&gt;0,Y533-BA533,BA533)</f>
        <v>0</v>
      </c>
      <c r="BE533" s="31">
        <v>747.9</v>
      </c>
      <c r="BF533" s="30" t="s">
        <v>57</v>
      </c>
      <c r="BG533" s="31">
        <f>BE533*Q533</f>
        <v>3739.5</v>
      </c>
      <c r="BH533" s="31">
        <f>BE533*R533*0.4</f>
        <v>0</v>
      </c>
      <c r="BI533" s="142"/>
      <c r="BJ533" s="142"/>
      <c r="BK533" s="32">
        <f>Y533*BE533</f>
        <v>3739.5</v>
      </c>
      <c r="BL533" s="35"/>
      <c r="BM533" s="35"/>
      <c r="BN533" s="35"/>
      <c r="BO533" s="35"/>
      <c r="BP533" s="25">
        <f>BE533*AV533</f>
        <v>0</v>
      </c>
      <c r="BQ533" s="25">
        <f>BE533*AX533</f>
        <v>0</v>
      </c>
      <c r="BR533" s="26"/>
      <c r="BS533" s="32"/>
    </row>
    <row r="534" spans="1:71" s="6" customFormat="1" ht="41.25" customHeight="1">
      <c r="A534" s="18">
        <v>531</v>
      </c>
      <c r="B534" s="18" t="s">
        <v>94</v>
      </c>
      <c r="C534" s="18" t="s">
        <v>121</v>
      </c>
      <c r="D534" s="18" t="s">
        <v>96</v>
      </c>
      <c r="E534" s="22" t="s">
        <v>937</v>
      </c>
      <c r="F534" s="52" t="s">
        <v>123</v>
      </c>
      <c r="G534" s="52"/>
      <c r="H534" s="22"/>
      <c r="I534" s="22"/>
      <c r="J534" s="22"/>
      <c r="K534" s="22"/>
      <c r="L534" s="22"/>
      <c r="M534" s="22"/>
      <c r="N534" s="22" t="s">
        <v>1078</v>
      </c>
      <c r="O534" s="23"/>
      <c r="P534" s="38" t="s">
        <v>56</v>
      </c>
      <c r="Q534" s="29">
        <v>40</v>
      </c>
      <c r="R534" s="72"/>
      <c r="S534" s="40">
        <v>40</v>
      </c>
      <c r="T534" s="29">
        <v>40</v>
      </c>
      <c r="U534" s="26"/>
      <c r="V534" s="25">
        <v>40</v>
      </c>
      <c r="W534" s="29">
        <v>520</v>
      </c>
      <c r="X534" s="25">
        <v>40</v>
      </c>
      <c r="Y534" s="53">
        <f>T534+R534+Q534+U534+W534</f>
        <v>600</v>
      </c>
      <c r="Z534" s="27">
        <v>280</v>
      </c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>
        <f>SUM(AM534:AS534)</f>
        <v>0</v>
      </c>
      <c r="AM534" s="26"/>
      <c r="AN534" s="26"/>
      <c r="AO534" s="26"/>
      <c r="AP534" s="26"/>
      <c r="AQ534" s="26"/>
      <c r="AR534" s="26"/>
      <c r="AS534" s="26"/>
      <c r="AT534" s="28"/>
      <c r="AU534" s="28"/>
      <c r="AV534" s="26"/>
      <c r="AW534" s="26"/>
      <c r="AX534" s="28"/>
      <c r="AY534" s="29">
        <f>Y534-AV534-AX534-AW534</f>
        <v>600</v>
      </c>
      <c r="AZ534" s="29">
        <f ca="1">'Layout for shadhous 1&amp;2'!I67</f>
        <v>600</v>
      </c>
      <c r="BA534" s="26">
        <f>AL534+AG534+AA534+AT534</f>
        <v>0</v>
      </c>
      <c r="BB534" s="30">
        <f>BD534+AO534+AG534</f>
        <v>0</v>
      </c>
      <c r="BC534" s="30">
        <f>BD534+AS534</f>
        <v>0</v>
      </c>
      <c r="BD534" s="30">
        <f>IF(BA534&gt;0,Y534-BA534,BA534)</f>
        <v>0</v>
      </c>
      <c r="BE534" s="31">
        <v>3</v>
      </c>
      <c r="BF534" s="30" t="s">
        <v>57</v>
      </c>
      <c r="BG534" s="31">
        <f>BE534*Q534</f>
        <v>120</v>
      </c>
      <c r="BH534" s="31">
        <f>BE534*R534*0.4</f>
        <v>0</v>
      </c>
      <c r="BI534" s="142"/>
      <c r="BJ534" s="142"/>
      <c r="BK534" s="32">
        <f>Y534*BE534</f>
        <v>1800</v>
      </c>
      <c r="BL534" s="25">
        <v>40</v>
      </c>
      <c r="BM534" s="25">
        <v>40</v>
      </c>
      <c r="BN534" s="25">
        <v>40</v>
      </c>
      <c r="BO534" s="25">
        <v>40</v>
      </c>
      <c r="BP534" s="25">
        <f>BE534*AV534</f>
        <v>0</v>
      </c>
      <c r="BQ534" s="25">
        <f>BE534*AX534</f>
        <v>0</v>
      </c>
      <c r="BR534" s="26"/>
      <c r="BS534" s="32"/>
    </row>
    <row r="535" spans="1:71" s="6" customFormat="1" ht="41.25" customHeight="1">
      <c r="A535" s="18">
        <v>532</v>
      </c>
      <c r="B535" s="18" t="s">
        <v>66</v>
      </c>
      <c r="C535" s="18" t="s">
        <v>139</v>
      </c>
      <c r="D535" s="56" t="s">
        <v>50</v>
      </c>
      <c r="E535" s="20" t="s">
        <v>966</v>
      </c>
      <c r="F535" s="21" t="s">
        <v>52</v>
      </c>
      <c r="G535" s="21"/>
      <c r="H535" s="22">
        <v>200</v>
      </c>
      <c r="I535" s="22">
        <v>200</v>
      </c>
      <c r="J535" s="22"/>
      <c r="K535" s="22"/>
      <c r="L535" s="20" t="s">
        <v>53</v>
      </c>
      <c r="M535" s="22"/>
      <c r="N535" s="22" t="s">
        <v>1081</v>
      </c>
      <c r="O535" s="23" t="s">
        <v>1082</v>
      </c>
      <c r="P535" s="18" t="s">
        <v>56</v>
      </c>
      <c r="Q535" s="26"/>
      <c r="R535" s="26"/>
      <c r="S535" s="25">
        <v>460</v>
      </c>
      <c r="T535" s="26"/>
      <c r="U535" s="26"/>
      <c r="V535" s="25">
        <v>460</v>
      </c>
      <c r="W535" s="26"/>
      <c r="X535" s="25">
        <v>276</v>
      </c>
      <c r="Y535" s="26">
        <f>T535+R535+Q535+U535+W535</f>
        <v>0</v>
      </c>
      <c r="Z535" s="27">
        <v>2300</v>
      </c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>
        <f>SUM(AM535:AS535)</f>
        <v>0</v>
      </c>
      <c r="AM535" s="26"/>
      <c r="AN535" s="26"/>
      <c r="AO535" s="26"/>
      <c r="AP535" s="26"/>
      <c r="AQ535" s="26"/>
      <c r="AR535" s="26"/>
      <c r="AS535" s="26"/>
      <c r="AT535" s="28"/>
      <c r="AU535" s="28"/>
      <c r="AV535" s="26"/>
      <c r="AW535" s="26"/>
      <c r="AX535" s="28"/>
      <c r="AY535" s="72">
        <f>Y535-AV535-AX535-AW535</f>
        <v>0</v>
      </c>
      <c r="AZ535" s="68"/>
      <c r="BA535" s="26">
        <f>AL535+AG535+AA535+AT535</f>
        <v>0</v>
      </c>
      <c r="BB535" s="30">
        <f>BD535+AO535+AG535</f>
        <v>0</v>
      </c>
      <c r="BC535" s="30">
        <f>BD535+AS535</f>
        <v>0</v>
      </c>
      <c r="BD535" s="30">
        <f>IF(BA535&gt;0,Y535-BA535,BA535)</f>
        <v>0</v>
      </c>
      <c r="BE535" s="31">
        <v>23</v>
      </c>
      <c r="BF535" s="30" t="s">
        <v>57</v>
      </c>
      <c r="BG535" s="31">
        <f>BE535*Q535</f>
        <v>0</v>
      </c>
      <c r="BH535" s="31">
        <f>BE535*R535*0.4</f>
        <v>0</v>
      </c>
      <c r="BI535" s="31"/>
      <c r="BJ535" s="31"/>
      <c r="BK535" s="32">
        <f>Y535*BE535</f>
        <v>0</v>
      </c>
      <c r="BL535" s="25">
        <v>276</v>
      </c>
      <c r="BM535" s="25">
        <v>276</v>
      </c>
      <c r="BN535" s="25">
        <v>276</v>
      </c>
      <c r="BO535" s="25">
        <v>276</v>
      </c>
      <c r="BP535" s="25">
        <f>BE535*AV535</f>
        <v>0</v>
      </c>
      <c r="BQ535" s="25">
        <f>BE535*AX535</f>
        <v>0</v>
      </c>
      <c r="BR535" s="26"/>
      <c r="BS535" s="32"/>
    </row>
    <row r="536" spans="1:71" s="6" customFormat="1" ht="41.25" customHeight="1">
      <c r="A536" s="18">
        <v>533</v>
      </c>
      <c r="B536" s="18" t="s">
        <v>87</v>
      </c>
      <c r="C536" s="65" t="s">
        <v>125</v>
      </c>
      <c r="D536" s="47" t="s">
        <v>89</v>
      </c>
      <c r="E536" s="22" t="s">
        <v>1083</v>
      </c>
      <c r="F536" s="21" t="s">
        <v>52</v>
      </c>
      <c r="G536" s="21"/>
      <c r="H536" s="50"/>
      <c r="I536" s="22" t="s">
        <v>345</v>
      </c>
      <c r="J536" s="22"/>
      <c r="K536" s="22"/>
      <c r="L536" s="22"/>
      <c r="M536" s="22"/>
      <c r="N536" s="22" t="s">
        <v>1084</v>
      </c>
      <c r="O536" s="23" t="s">
        <v>1085</v>
      </c>
      <c r="P536" s="18" t="s">
        <v>56</v>
      </c>
      <c r="Q536" s="72"/>
      <c r="R536" s="26"/>
      <c r="S536" s="25">
        <v>200</v>
      </c>
      <c r="T536" s="26"/>
      <c r="U536" s="26"/>
      <c r="V536" s="25"/>
      <c r="W536" s="26"/>
      <c r="X536" s="25"/>
      <c r="Y536" s="26">
        <f>T536+R536+Q536+U536+W536</f>
        <v>0</v>
      </c>
      <c r="Z536" s="27">
        <v>200</v>
      </c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>
        <f>SUM(AM536:AS536)</f>
        <v>0</v>
      </c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72">
        <f>Y536-AV536-AX536-AW536</f>
        <v>0</v>
      </c>
      <c r="AZ536" s="68"/>
      <c r="BA536" s="26">
        <f>AL536+AG536+AA536+AT536</f>
        <v>0</v>
      </c>
      <c r="BB536" s="30">
        <f>BD536+AO536+AG536</f>
        <v>0</v>
      </c>
      <c r="BC536" s="30">
        <f>BD536+AS536</f>
        <v>0</v>
      </c>
      <c r="BD536" s="30">
        <f>IF(BA536&gt;0,Y536-BA536,BA536)</f>
        <v>0</v>
      </c>
      <c r="BE536" s="31">
        <v>3.75</v>
      </c>
      <c r="BF536" s="30" t="s">
        <v>57</v>
      </c>
      <c r="BG536" s="31">
        <f>BE536*Q536</f>
        <v>0</v>
      </c>
      <c r="BH536" s="31">
        <f>BE536*R536*0.4</f>
        <v>0</v>
      </c>
      <c r="BI536" s="142"/>
      <c r="BJ536" s="142"/>
      <c r="BK536" s="32">
        <f>Y536*BE536</f>
        <v>0</v>
      </c>
      <c r="BL536" s="25"/>
      <c r="BM536" s="25"/>
      <c r="BN536" s="25"/>
      <c r="BO536" s="25"/>
      <c r="BP536" s="25">
        <f>BE536*AV536</f>
        <v>0</v>
      </c>
      <c r="BQ536" s="25">
        <f>BE536*AX536</f>
        <v>0</v>
      </c>
      <c r="BR536" s="26"/>
      <c r="BS536" s="32"/>
    </row>
    <row r="537" spans="1:71" s="6" customFormat="1" ht="41.25" customHeight="1">
      <c r="A537" s="18">
        <v>534</v>
      </c>
      <c r="B537" s="18" t="s">
        <v>191</v>
      </c>
      <c r="C537" s="18" t="s">
        <v>192</v>
      </c>
      <c r="D537" s="21" t="s">
        <v>50</v>
      </c>
      <c r="E537" s="20" t="s">
        <v>1076</v>
      </c>
      <c r="F537" s="52" t="s">
        <v>123</v>
      </c>
      <c r="G537" s="52"/>
      <c r="H537" s="22">
        <v>120</v>
      </c>
      <c r="I537" s="22">
        <v>200</v>
      </c>
      <c r="J537" s="22"/>
      <c r="K537" s="22"/>
      <c r="L537" s="20" t="s">
        <v>53</v>
      </c>
      <c r="M537" s="22"/>
      <c r="N537" s="22" t="s">
        <v>1086</v>
      </c>
      <c r="O537" s="23"/>
      <c r="P537" s="38" t="s">
        <v>56</v>
      </c>
      <c r="Q537" s="26"/>
      <c r="R537" s="26"/>
      <c r="S537" s="40">
        <v>2720</v>
      </c>
      <c r="T537" s="26"/>
      <c r="U537" s="26"/>
      <c r="V537" s="25">
        <v>2720</v>
      </c>
      <c r="W537" s="26"/>
      <c r="X537" s="25">
        <v>1632</v>
      </c>
      <c r="Y537" s="26">
        <f>T537+R537+Q537+U537+W537</f>
        <v>0</v>
      </c>
      <c r="Z537" s="27">
        <v>13600</v>
      </c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>
        <f>SUM(AM537:AS537)</f>
        <v>0</v>
      </c>
      <c r="AM537" s="26"/>
      <c r="AN537" s="26"/>
      <c r="AO537" s="26"/>
      <c r="AP537" s="26"/>
      <c r="AQ537" s="26"/>
      <c r="AR537" s="26"/>
      <c r="AS537" s="26"/>
      <c r="AT537" s="28"/>
      <c r="AU537" s="28"/>
      <c r="AV537" s="26"/>
      <c r="AW537" s="26"/>
      <c r="AX537" s="28"/>
      <c r="AY537" s="72">
        <f>Y537-AV537-AX537-AW537</f>
        <v>0</v>
      </c>
      <c r="AZ537" s="68"/>
      <c r="BA537" s="26">
        <f>AL537+AG537+AA537+AT537</f>
        <v>0</v>
      </c>
      <c r="BB537" s="30">
        <f>BD537+AO537+AG537</f>
        <v>0</v>
      </c>
      <c r="BC537" s="30">
        <f>BD537+AS537</f>
        <v>0</v>
      </c>
      <c r="BD537" s="30">
        <f>IF(BA537&gt;0,Y537-BA537,BA537)</f>
        <v>0</v>
      </c>
      <c r="BE537" s="31">
        <v>7</v>
      </c>
      <c r="BF537" s="30" t="s">
        <v>57</v>
      </c>
      <c r="BG537" s="31">
        <f>BE537*Q537</f>
        <v>0</v>
      </c>
      <c r="BH537" s="31">
        <f>BE537*R537*0.4</f>
        <v>0</v>
      </c>
      <c r="BI537" s="142"/>
      <c r="BJ537" s="142"/>
      <c r="BK537" s="32">
        <f>Y537*BE537</f>
        <v>0</v>
      </c>
      <c r="BL537" s="25">
        <v>1632</v>
      </c>
      <c r="BM537" s="25">
        <v>1632</v>
      </c>
      <c r="BN537" s="25">
        <v>1632</v>
      </c>
      <c r="BO537" s="25">
        <v>1632</v>
      </c>
      <c r="BP537" s="25">
        <f>BE537*AV537</f>
        <v>0</v>
      </c>
      <c r="BQ537" s="25">
        <f>BE537*AX537</f>
        <v>0</v>
      </c>
      <c r="BR537" s="26"/>
      <c r="BS537" s="32"/>
    </row>
    <row r="538" spans="1:71" s="6" customFormat="1" ht="41.25" customHeight="1">
      <c r="A538" s="18">
        <v>535</v>
      </c>
      <c r="B538" s="50" t="s">
        <v>94</v>
      </c>
      <c r="C538" s="44" t="s">
        <v>209</v>
      </c>
      <c r="D538" s="18" t="s">
        <v>96</v>
      </c>
      <c r="E538" s="55" t="s">
        <v>791</v>
      </c>
      <c r="F538" s="44" t="s">
        <v>209</v>
      </c>
      <c r="G538" s="44"/>
      <c r="H538" s="50"/>
      <c r="I538" s="50"/>
      <c r="J538" s="50"/>
      <c r="K538" s="50"/>
      <c r="L538" s="20" t="s">
        <v>53</v>
      </c>
      <c r="M538" s="22"/>
      <c r="N538" s="22" t="s">
        <v>1087</v>
      </c>
      <c r="O538" s="23" t="s">
        <v>1088</v>
      </c>
      <c r="P538" s="18" t="s">
        <v>56</v>
      </c>
      <c r="Q538" s="106"/>
      <c r="R538" s="26"/>
      <c r="S538" s="25"/>
      <c r="T538" s="26"/>
      <c r="U538" s="26"/>
      <c r="V538" s="25">
        <v>200</v>
      </c>
      <c r="W538" s="26"/>
      <c r="X538" s="25"/>
      <c r="Y538" s="26">
        <f>T538+R538+Q538+U538+W538</f>
        <v>0</v>
      </c>
      <c r="Z538" s="27">
        <v>200</v>
      </c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>
        <f>SUM(AM538:AS538)</f>
        <v>0</v>
      </c>
      <c r="AM538" s="26"/>
      <c r="AN538" s="26"/>
      <c r="AO538" s="26"/>
      <c r="AP538" s="26"/>
      <c r="AQ538" s="26"/>
      <c r="AR538" s="26"/>
      <c r="AS538" s="26"/>
      <c r="AT538" s="28"/>
      <c r="AU538" s="28"/>
      <c r="AV538" s="26"/>
      <c r="AW538" s="26"/>
      <c r="AX538" s="28"/>
      <c r="AY538" s="72">
        <f>Y538-AV538-AX538-AW538</f>
        <v>0</v>
      </c>
      <c r="AZ538" s="68"/>
      <c r="BA538" s="26">
        <f>AL538+AG538+AA538+AT538</f>
        <v>0</v>
      </c>
      <c r="BB538" s="30">
        <f>BD538+AO538+AG538</f>
        <v>0</v>
      </c>
      <c r="BC538" s="30">
        <f>BD538+AS538</f>
        <v>0</v>
      </c>
      <c r="BD538" s="30">
        <f>IF(BA538&gt;0,Y538-BA538,BA538)</f>
        <v>0</v>
      </c>
      <c r="BE538" s="31">
        <v>3</v>
      </c>
      <c r="BF538" s="30" t="s">
        <v>57</v>
      </c>
      <c r="BG538" s="31">
        <f>BE538*Q538</f>
        <v>0</v>
      </c>
      <c r="BH538" s="31">
        <f>BE538*R538*0.4</f>
        <v>0</v>
      </c>
      <c r="BI538" s="142"/>
      <c r="BJ538" s="142"/>
      <c r="BK538" s="32">
        <f>Y538*BE538</f>
        <v>0</v>
      </c>
      <c r="BL538" s="25"/>
      <c r="BM538" s="25"/>
      <c r="BN538" s="25"/>
      <c r="BO538" s="25"/>
      <c r="BP538" s="25">
        <f>BE538*AV538</f>
        <v>0</v>
      </c>
      <c r="BQ538" s="25">
        <f>BE538*AX538</f>
        <v>0</v>
      </c>
      <c r="BR538" s="28"/>
      <c r="BS538" s="32"/>
    </row>
    <row r="539" spans="1:71" s="6" customFormat="1" ht="41.25" customHeight="1">
      <c r="A539" s="18">
        <v>536</v>
      </c>
      <c r="B539" s="18" t="s">
        <v>87</v>
      </c>
      <c r="C539" s="18" t="s">
        <v>88</v>
      </c>
      <c r="D539" s="47" t="s">
        <v>89</v>
      </c>
      <c r="E539" s="22" t="s">
        <v>950</v>
      </c>
      <c r="F539" s="36" t="s">
        <v>70</v>
      </c>
      <c r="G539" s="36"/>
      <c r="H539" s="22"/>
      <c r="I539" s="37" t="s">
        <v>855</v>
      </c>
      <c r="J539" s="37"/>
      <c r="K539" s="37"/>
      <c r="L539" s="22"/>
      <c r="M539" s="22"/>
      <c r="N539" s="22" t="s">
        <v>1089</v>
      </c>
      <c r="O539" s="23" t="s">
        <v>1090</v>
      </c>
      <c r="P539" s="18" t="s">
        <v>56</v>
      </c>
      <c r="Q539" s="42"/>
      <c r="R539" s="42"/>
      <c r="S539" s="25">
        <v>5</v>
      </c>
      <c r="T539" s="26"/>
      <c r="U539" s="26"/>
      <c r="V539" s="25"/>
      <c r="W539" s="26"/>
      <c r="X539" s="25"/>
      <c r="Y539" s="26">
        <f>T539+R539+Q539+U539+W539</f>
        <v>0</v>
      </c>
      <c r="Z539" s="27">
        <v>5</v>
      </c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>
        <f>SUM(AM539:AS539)</f>
        <v>0</v>
      </c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72">
        <f>Y539-AV539-AX539-AW539</f>
        <v>0</v>
      </c>
      <c r="AZ539" s="68"/>
      <c r="BA539" s="26">
        <f>AL539+AG539+AA539+AT539</f>
        <v>0</v>
      </c>
      <c r="BB539" s="30">
        <f>BD539+AO539+AG539</f>
        <v>0</v>
      </c>
      <c r="BC539" s="30">
        <f>BD539+AS539</f>
        <v>0</v>
      </c>
      <c r="BD539" s="30">
        <f>IF(BA539&gt;0,Y539-BA539,BA539)</f>
        <v>0</v>
      </c>
      <c r="BE539" s="31">
        <v>690</v>
      </c>
      <c r="BF539" s="30" t="s">
        <v>57</v>
      </c>
      <c r="BG539" s="31">
        <f>BE539*Q539</f>
        <v>0</v>
      </c>
      <c r="BH539" s="31">
        <f>BE539*R539*0.4</f>
        <v>0</v>
      </c>
      <c r="BI539" s="142"/>
      <c r="BJ539" s="142"/>
      <c r="BK539" s="32">
        <f>Y539*BE539</f>
        <v>0</v>
      </c>
      <c r="BL539" s="25"/>
      <c r="BM539" s="25"/>
      <c r="BN539" s="25"/>
      <c r="BO539" s="25"/>
      <c r="BP539" s="25">
        <f>BE539*AV539</f>
        <v>0</v>
      </c>
      <c r="BQ539" s="25">
        <f>BE539*AX539</f>
        <v>0</v>
      </c>
      <c r="BR539" s="28"/>
      <c r="BS539" s="32"/>
    </row>
    <row r="540" spans="1:71" s="6" customFormat="1" ht="41.25" customHeight="1">
      <c r="A540" s="18">
        <v>537</v>
      </c>
      <c r="B540" s="18" t="s">
        <v>94</v>
      </c>
      <c r="C540" s="18" t="s">
        <v>485</v>
      </c>
      <c r="D540" s="18" t="s">
        <v>96</v>
      </c>
      <c r="E540" s="22" t="s">
        <v>1098</v>
      </c>
      <c r="F540" s="58" t="s">
        <v>146</v>
      </c>
      <c r="G540" s="58"/>
      <c r="H540" s="22"/>
      <c r="I540" s="22"/>
      <c r="J540" s="22"/>
      <c r="K540" s="22"/>
      <c r="L540" s="22"/>
      <c r="M540" s="22"/>
      <c r="N540" s="22" t="s">
        <v>1099</v>
      </c>
      <c r="O540" s="23"/>
      <c r="P540" s="38" t="s">
        <v>56</v>
      </c>
      <c r="Q540" s="29">
        <v>40</v>
      </c>
      <c r="R540" s="42"/>
      <c r="S540" s="40">
        <v>40</v>
      </c>
      <c r="T540" s="29">
        <v>35</v>
      </c>
      <c r="U540" s="26"/>
      <c r="V540" s="25">
        <v>40</v>
      </c>
      <c r="W540" s="26"/>
      <c r="X540" s="25">
        <v>40</v>
      </c>
      <c r="Y540" s="53">
        <f>T540+R540+Q540+U540+W540</f>
        <v>75</v>
      </c>
      <c r="Z540" s="27">
        <v>280</v>
      </c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>
        <f>SUM(AM540:AS540)</f>
        <v>0</v>
      </c>
      <c r="AM540" s="26"/>
      <c r="AN540" s="26"/>
      <c r="AO540" s="26"/>
      <c r="AP540" s="26"/>
      <c r="AQ540" s="26"/>
      <c r="AR540" s="26"/>
      <c r="AS540" s="26"/>
      <c r="AT540" s="28"/>
      <c r="AU540" s="28"/>
      <c r="AV540" s="26"/>
      <c r="AW540" s="26"/>
      <c r="AX540" s="28"/>
      <c r="AY540" s="29">
        <f>Y540-AV540-AX540-AW540</f>
        <v>75</v>
      </c>
      <c r="AZ540" s="29">
        <f>'Layout for shadhous 3'!M63</f>
        <v>75</v>
      </c>
      <c r="BA540" s="26">
        <f>AL540+AG540+AA540+AT540</f>
        <v>0</v>
      </c>
      <c r="BB540" s="30">
        <f>BD540+AO540+AG540</f>
        <v>0</v>
      </c>
      <c r="BC540" s="30">
        <f>BD540+AS540</f>
        <v>0</v>
      </c>
      <c r="BD540" s="30">
        <f>IF(BA540&gt;0,Y540-BA540,BA540)</f>
        <v>0</v>
      </c>
      <c r="BE540" s="31">
        <v>8</v>
      </c>
      <c r="BF540" s="30" t="s">
        <v>57</v>
      </c>
      <c r="BG540" s="31">
        <f>BE540*Q540</f>
        <v>320</v>
      </c>
      <c r="BH540" s="31">
        <f>BE540*R540*0.4</f>
        <v>0</v>
      </c>
      <c r="BI540" s="142"/>
      <c r="BJ540" s="142"/>
      <c r="BK540" s="32">
        <f>Y540*BE540</f>
        <v>600</v>
      </c>
      <c r="BL540" s="25">
        <v>40</v>
      </c>
      <c r="BM540" s="25">
        <v>40</v>
      </c>
      <c r="BN540" s="25">
        <v>40</v>
      </c>
      <c r="BO540" s="25">
        <v>40</v>
      </c>
      <c r="BP540" s="25">
        <f>BE540*AV540</f>
        <v>0</v>
      </c>
      <c r="BQ540" s="25">
        <f>BE540*AX540</f>
        <v>0</v>
      </c>
      <c r="BR540" s="28"/>
      <c r="BS540" s="32"/>
    </row>
    <row r="541" spans="1:71" s="6" customFormat="1" ht="41.25" customHeight="1">
      <c r="A541" s="18">
        <v>538</v>
      </c>
      <c r="B541" s="18" t="s">
        <v>94</v>
      </c>
      <c r="C541" s="18" t="s">
        <v>132</v>
      </c>
      <c r="D541" s="18" t="s">
        <v>96</v>
      </c>
      <c r="E541" s="22" t="s">
        <v>1100</v>
      </c>
      <c r="F541" s="52" t="s">
        <v>123</v>
      </c>
      <c r="G541" s="52"/>
      <c r="H541" s="22"/>
      <c r="I541" s="22"/>
      <c r="J541" s="22"/>
      <c r="K541" s="22"/>
      <c r="L541" s="22"/>
      <c r="M541" s="22"/>
      <c r="N541" s="22" t="s">
        <v>1101</v>
      </c>
      <c r="O541" s="23"/>
      <c r="P541" s="18" t="s">
        <v>56</v>
      </c>
      <c r="Q541" s="72"/>
      <c r="R541" s="72"/>
      <c r="S541" s="25">
        <v>60</v>
      </c>
      <c r="T541" s="26"/>
      <c r="U541" s="26"/>
      <c r="V541" s="25">
        <v>60</v>
      </c>
      <c r="W541" s="26"/>
      <c r="X541" s="25">
        <v>60</v>
      </c>
      <c r="Y541" s="26">
        <f>T541+R541+Q541+U541+W541</f>
        <v>0</v>
      </c>
      <c r="Z541" s="27">
        <v>420</v>
      </c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>
        <f>SUM(AM541:AS541)</f>
        <v>0</v>
      </c>
      <c r="AM541" s="26"/>
      <c r="AN541" s="26"/>
      <c r="AO541" s="26"/>
      <c r="AP541" s="26"/>
      <c r="AQ541" s="26"/>
      <c r="AR541" s="26"/>
      <c r="AS541" s="26"/>
      <c r="AT541" s="28"/>
      <c r="AU541" s="28"/>
      <c r="AV541" s="26"/>
      <c r="AW541" s="26"/>
      <c r="AX541" s="28"/>
      <c r="AY541" s="72">
        <f>Y541-AV541-AX541-AW541</f>
        <v>0</v>
      </c>
      <c r="AZ541" s="68"/>
      <c r="BA541" s="26">
        <f>AL541+AG541+AA541+AT541</f>
        <v>0</v>
      </c>
      <c r="BB541" s="30">
        <f>BD541+AO541+AG541</f>
        <v>0</v>
      </c>
      <c r="BC541" s="30">
        <f>BD541+AS541</f>
        <v>0</v>
      </c>
      <c r="BD541" s="30">
        <f>IF(BA541&gt;0,Y541-BA541,BA541)</f>
        <v>0</v>
      </c>
      <c r="BE541" s="31">
        <v>8</v>
      </c>
      <c r="BF541" s="30" t="s">
        <v>57</v>
      </c>
      <c r="BG541" s="31">
        <f>BE541*Q541</f>
        <v>0</v>
      </c>
      <c r="BH541" s="31">
        <f>BE541*R541*0.4</f>
        <v>0</v>
      </c>
      <c r="BI541" s="142"/>
      <c r="BJ541" s="142"/>
      <c r="BK541" s="32">
        <f>Y541*BE541</f>
        <v>0</v>
      </c>
      <c r="BL541" s="25">
        <v>60</v>
      </c>
      <c r="BM541" s="25">
        <v>60</v>
      </c>
      <c r="BN541" s="25">
        <v>60</v>
      </c>
      <c r="BO541" s="25">
        <v>60</v>
      </c>
      <c r="BP541" s="25">
        <f>BE541*AV541</f>
        <v>0</v>
      </c>
      <c r="BQ541" s="25">
        <f>BE541*AX541</f>
        <v>0</v>
      </c>
      <c r="BR541" s="28"/>
      <c r="BS541" s="32"/>
    </row>
    <row r="542" spans="1:71" s="6" customFormat="1" ht="41.25" customHeight="1">
      <c r="A542" s="18">
        <v>539</v>
      </c>
      <c r="B542" s="50" t="s">
        <v>94</v>
      </c>
      <c r="C542" s="44" t="s">
        <v>215</v>
      </c>
      <c r="D542" s="18" t="s">
        <v>96</v>
      </c>
      <c r="E542" s="55" t="s">
        <v>781</v>
      </c>
      <c r="F542" s="21" t="s">
        <v>52</v>
      </c>
      <c r="G542" s="21"/>
      <c r="H542" s="50"/>
      <c r="I542" s="50"/>
      <c r="J542" s="50"/>
      <c r="K542" s="50"/>
      <c r="L542" s="20" t="s">
        <v>53</v>
      </c>
      <c r="M542" s="22"/>
      <c r="N542" s="22" t="s">
        <v>1106</v>
      </c>
      <c r="O542" s="23"/>
      <c r="P542" s="18" t="s">
        <v>56</v>
      </c>
      <c r="Q542" s="72"/>
      <c r="R542" s="72"/>
      <c r="S542" s="25"/>
      <c r="T542" s="26"/>
      <c r="U542" s="26"/>
      <c r="V542" s="25"/>
      <c r="W542" s="26"/>
      <c r="X542" s="25"/>
      <c r="Y542" s="26">
        <f>T542+R542+Q542+U542+W542</f>
        <v>0</v>
      </c>
      <c r="Z542" s="27">
        <v>200</v>
      </c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>
        <f>SUM(AM542:AS542)</f>
        <v>0</v>
      </c>
      <c r="AM542" s="26"/>
      <c r="AN542" s="26"/>
      <c r="AO542" s="26"/>
      <c r="AP542" s="26"/>
      <c r="AQ542" s="26"/>
      <c r="AR542" s="26"/>
      <c r="AS542" s="26"/>
      <c r="AT542" s="28"/>
      <c r="AU542" s="28"/>
      <c r="AV542" s="26"/>
      <c r="AW542" s="26"/>
      <c r="AX542" s="28"/>
      <c r="AY542" s="72">
        <f>Y542-AV542-AX542-AW542</f>
        <v>0</v>
      </c>
      <c r="AZ542" s="68"/>
      <c r="BA542" s="26">
        <f>AL542+AG542+AA542+AT542</f>
        <v>0</v>
      </c>
      <c r="BB542" s="30">
        <f>BD542+AO542+AG542</f>
        <v>0</v>
      </c>
      <c r="BC542" s="30">
        <f>BD542+AS542</f>
        <v>0</v>
      </c>
      <c r="BD542" s="30">
        <f>IF(BA542&gt;0,Y542-BA542,BA542)</f>
        <v>0</v>
      </c>
      <c r="BE542" s="31"/>
      <c r="BF542" s="30" t="s">
        <v>57</v>
      </c>
      <c r="BG542" s="31">
        <f>BE542*Q542</f>
        <v>0</v>
      </c>
      <c r="BH542" s="31">
        <f>BE542*R542*0.4</f>
        <v>0</v>
      </c>
      <c r="BI542" s="142"/>
      <c r="BJ542" s="142"/>
      <c r="BK542" s="32">
        <f>Y542*BE542</f>
        <v>0</v>
      </c>
      <c r="BL542" s="25">
        <v>200</v>
      </c>
      <c r="BM542" s="25"/>
      <c r="BN542" s="25"/>
      <c r="BO542" s="25"/>
      <c r="BP542" s="25">
        <f>BE542*AV542</f>
        <v>0</v>
      </c>
      <c r="BQ542" s="25">
        <f>BE542*AX542</f>
        <v>0</v>
      </c>
      <c r="BR542" s="28"/>
      <c r="BS542" s="32"/>
    </row>
    <row r="543" spans="1:71" s="6" customFormat="1" ht="41.25" customHeight="1">
      <c r="A543" s="18">
        <v>540</v>
      </c>
      <c r="B543" s="50" t="s">
        <v>94</v>
      </c>
      <c r="C543" s="44" t="s">
        <v>209</v>
      </c>
      <c r="D543" s="18" t="s">
        <v>96</v>
      </c>
      <c r="E543" s="55" t="s">
        <v>791</v>
      </c>
      <c r="F543" s="44" t="s">
        <v>209</v>
      </c>
      <c r="G543" s="44"/>
      <c r="H543" s="50"/>
      <c r="I543" s="50"/>
      <c r="J543" s="50"/>
      <c r="K543" s="50"/>
      <c r="L543" s="20" t="s">
        <v>53</v>
      </c>
      <c r="M543" s="22"/>
      <c r="N543" s="22" t="s">
        <v>1107</v>
      </c>
      <c r="O543" s="23" t="s">
        <v>1108</v>
      </c>
      <c r="P543" s="18" t="s">
        <v>56</v>
      </c>
      <c r="Q543" s="42"/>
      <c r="R543" s="72"/>
      <c r="S543" s="25"/>
      <c r="T543" s="26"/>
      <c r="U543" s="26"/>
      <c r="V543" s="25"/>
      <c r="W543" s="26"/>
      <c r="X543" s="25">
        <v>200</v>
      </c>
      <c r="Y543" s="26">
        <f>T543+R543+Q543+U543+W543</f>
        <v>0</v>
      </c>
      <c r="Z543" s="27">
        <v>200</v>
      </c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>
        <f>SUM(AM543:AS543)</f>
        <v>0</v>
      </c>
      <c r="AM543" s="26"/>
      <c r="AN543" s="26"/>
      <c r="AO543" s="26"/>
      <c r="AP543" s="26"/>
      <c r="AQ543" s="26"/>
      <c r="AR543" s="26"/>
      <c r="AS543" s="26"/>
      <c r="AT543" s="28"/>
      <c r="AU543" s="28"/>
      <c r="AV543" s="26"/>
      <c r="AW543" s="26"/>
      <c r="AX543" s="28"/>
      <c r="AY543" s="72">
        <f>Y543-AV543-AX543-AW543</f>
        <v>0</v>
      </c>
      <c r="AZ543" s="68"/>
      <c r="BA543" s="26">
        <f>AL543+AG543+AA543+AT543</f>
        <v>0</v>
      </c>
      <c r="BB543" s="30">
        <f>BD543+AO543+AG543</f>
        <v>0</v>
      </c>
      <c r="BC543" s="30">
        <f>BD543+AS543</f>
        <v>0</v>
      </c>
      <c r="BD543" s="30">
        <f>IF(BA543&gt;0,Y543-BA543,BA543)</f>
        <v>0</v>
      </c>
      <c r="BE543" s="31">
        <v>5</v>
      </c>
      <c r="BF543" s="30" t="s">
        <v>57</v>
      </c>
      <c r="BG543" s="31">
        <f>BE543*Q543</f>
        <v>0</v>
      </c>
      <c r="BH543" s="31">
        <f>BE543*R543*0.4</f>
        <v>0</v>
      </c>
      <c r="BI543" s="142"/>
      <c r="BJ543" s="142"/>
      <c r="BK543" s="32">
        <f>Y543*BE543</f>
        <v>0</v>
      </c>
      <c r="BL543" s="25"/>
      <c r="BM543" s="25"/>
      <c r="BN543" s="25"/>
      <c r="BO543" s="25"/>
      <c r="BP543" s="25">
        <f>BE543*AV543</f>
        <v>0</v>
      </c>
      <c r="BQ543" s="25">
        <f>BE543*AX543</f>
        <v>0</v>
      </c>
      <c r="BR543" s="28"/>
      <c r="BS543" s="32"/>
    </row>
    <row r="544" spans="1:71" s="6" customFormat="1" ht="41.25" customHeight="1">
      <c r="A544" s="18">
        <v>541</v>
      </c>
      <c r="B544" s="18" t="s">
        <v>94</v>
      </c>
      <c r="C544" s="66" t="s">
        <v>209</v>
      </c>
      <c r="D544" s="18" t="s">
        <v>96</v>
      </c>
      <c r="E544" s="20" t="s">
        <v>791</v>
      </c>
      <c r="F544" s="66" t="s">
        <v>209</v>
      </c>
      <c r="G544" s="66"/>
      <c r="H544" s="50"/>
      <c r="I544" s="50"/>
      <c r="J544" s="50"/>
      <c r="K544" s="50"/>
      <c r="L544" s="20" t="s">
        <v>53</v>
      </c>
      <c r="M544" s="22"/>
      <c r="N544" s="22" t="s">
        <v>1113</v>
      </c>
      <c r="O544" s="23"/>
      <c r="P544" s="18" t="s">
        <v>56</v>
      </c>
      <c r="Q544" s="72"/>
      <c r="R544" s="72"/>
      <c r="S544" s="25"/>
      <c r="T544" s="26"/>
      <c r="U544" s="26"/>
      <c r="V544" s="25"/>
      <c r="W544" s="26"/>
      <c r="X544" s="25"/>
      <c r="Y544" s="26">
        <f>T544+R544+Q544+U544+W544</f>
        <v>0</v>
      </c>
      <c r="Z544" s="27">
        <v>200</v>
      </c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>
        <f>SUM(AM544:AS544)</f>
        <v>0</v>
      </c>
      <c r="AM544" s="26"/>
      <c r="AN544" s="26"/>
      <c r="AO544" s="26"/>
      <c r="AP544" s="26"/>
      <c r="AQ544" s="26"/>
      <c r="AR544" s="26"/>
      <c r="AS544" s="26"/>
      <c r="AT544" s="28"/>
      <c r="AU544" s="28"/>
      <c r="AV544" s="26"/>
      <c r="AW544" s="26"/>
      <c r="AX544" s="28"/>
      <c r="AY544" s="72">
        <f>Y544-AV544-AX544-AW544</f>
        <v>0</v>
      </c>
      <c r="AZ544" s="68"/>
      <c r="BA544" s="26">
        <f>AL544+AG544+AA544+AT544</f>
        <v>0</v>
      </c>
      <c r="BB544" s="30">
        <f>BD544+AO544+AG544</f>
        <v>0</v>
      </c>
      <c r="BC544" s="30">
        <f>BD544+AS544</f>
        <v>0</v>
      </c>
      <c r="BD544" s="30">
        <f>IF(BA544&gt;0,Y544-BA544,BA544)</f>
        <v>0</v>
      </c>
      <c r="BE544" s="31"/>
      <c r="BF544" s="30" t="s">
        <v>57</v>
      </c>
      <c r="BG544" s="31">
        <f>BE544*Q544</f>
        <v>0</v>
      </c>
      <c r="BH544" s="31">
        <f>BE544*R544*0.4</f>
        <v>0</v>
      </c>
      <c r="BI544" s="142"/>
      <c r="BJ544" s="142"/>
      <c r="BK544" s="32">
        <f>Y544*BE544</f>
        <v>0</v>
      </c>
      <c r="BL544" s="25">
        <v>200</v>
      </c>
      <c r="BM544" s="25"/>
      <c r="BN544" s="25"/>
      <c r="BO544" s="25"/>
      <c r="BP544" s="25">
        <f>BE544*AV544</f>
        <v>0</v>
      </c>
      <c r="BQ544" s="25">
        <f>BE544*AX544</f>
        <v>0</v>
      </c>
      <c r="BR544" s="26"/>
      <c r="BS544" s="32"/>
    </row>
    <row r="545" spans="1:71" s="6" customFormat="1" ht="41.25" customHeight="1">
      <c r="A545" s="18">
        <v>542</v>
      </c>
      <c r="B545" s="18" t="s">
        <v>94</v>
      </c>
      <c r="C545" s="66" t="s">
        <v>209</v>
      </c>
      <c r="D545" s="18" t="s">
        <v>96</v>
      </c>
      <c r="E545" s="20" t="s">
        <v>791</v>
      </c>
      <c r="F545" s="66" t="s">
        <v>209</v>
      </c>
      <c r="G545" s="66"/>
      <c r="H545" s="50"/>
      <c r="I545" s="50"/>
      <c r="J545" s="50"/>
      <c r="K545" s="50"/>
      <c r="L545" s="20" t="s">
        <v>53</v>
      </c>
      <c r="M545" s="22"/>
      <c r="N545" s="22" t="s">
        <v>1114</v>
      </c>
      <c r="O545" s="23"/>
      <c r="P545" s="18" t="s">
        <v>56</v>
      </c>
      <c r="Q545" s="42"/>
      <c r="R545" s="26"/>
      <c r="S545" s="25"/>
      <c r="T545" s="26"/>
      <c r="U545" s="26"/>
      <c r="V545" s="25"/>
      <c r="W545" s="29">
        <v>12</v>
      </c>
      <c r="X545" s="25"/>
      <c r="Y545" s="53">
        <f>T545+R545+Q545+U545+W545</f>
        <v>12</v>
      </c>
      <c r="Z545" s="27">
        <v>200</v>
      </c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>
        <f>SUM(AM545:AS545)</f>
        <v>0</v>
      </c>
      <c r="AM545" s="26"/>
      <c r="AN545" s="26"/>
      <c r="AO545" s="26"/>
      <c r="AP545" s="26"/>
      <c r="AQ545" s="26"/>
      <c r="AR545" s="26"/>
      <c r="AS545" s="26"/>
      <c r="AT545" s="28"/>
      <c r="AU545" s="28"/>
      <c r="AV545" s="26"/>
      <c r="AW545" s="26"/>
      <c r="AX545" s="28"/>
      <c r="AY545" s="29">
        <f>Y545-AV545-AX545-AW545</f>
        <v>12</v>
      </c>
      <c r="AZ545" s="29"/>
      <c r="BA545" s="26">
        <f>AL545+AG545+AA545+AT545</f>
        <v>0</v>
      </c>
      <c r="BB545" s="30">
        <f>BD545+AO545+AG545</f>
        <v>0</v>
      </c>
      <c r="BC545" s="30">
        <f>BD545+AS545</f>
        <v>0</v>
      </c>
      <c r="BD545" s="30">
        <f>IF(BA545&gt;0,Y545-BA545,BA545)</f>
        <v>0</v>
      </c>
      <c r="BE545" s="31">
        <v>6</v>
      </c>
      <c r="BF545" s="30" t="s">
        <v>57</v>
      </c>
      <c r="BG545" s="31">
        <f>BE545*Q545</f>
        <v>0</v>
      </c>
      <c r="BH545" s="31">
        <f>BE545*R545*0.4</f>
        <v>0</v>
      </c>
      <c r="BI545" s="142"/>
      <c r="BJ545" s="142"/>
      <c r="BK545" s="32">
        <f>Y545*BE545</f>
        <v>72</v>
      </c>
      <c r="BL545" s="25"/>
      <c r="BM545" s="25">
        <v>200</v>
      </c>
      <c r="BN545" s="25"/>
      <c r="BO545" s="25"/>
      <c r="BP545" s="25">
        <f>BE545*AV545</f>
        <v>0</v>
      </c>
      <c r="BQ545" s="25">
        <f>BE545*AX545</f>
        <v>0</v>
      </c>
      <c r="BR545" s="26"/>
      <c r="BS545" s="32"/>
    </row>
    <row r="546" spans="1:71" s="6" customFormat="1" ht="41.25" customHeight="1">
      <c r="A546" s="18">
        <v>543</v>
      </c>
      <c r="B546" s="18" t="s">
        <v>94</v>
      </c>
      <c r="C546" s="18" t="s">
        <v>209</v>
      </c>
      <c r="D546" s="18" t="s">
        <v>96</v>
      </c>
      <c r="E546" s="20" t="s">
        <v>791</v>
      </c>
      <c r="F546" s="18" t="s">
        <v>209</v>
      </c>
      <c r="G546" s="18"/>
      <c r="H546" s="22"/>
      <c r="I546" s="22"/>
      <c r="J546" s="22"/>
      <c r="K546" s="22"/>
      <c r="L546" s="20" t="s">
        <v>53</v>
      </c>
      <c r="M546" s="22"/>
      <c r="N546" s="22" t="s">
        <v>1115</v>
      </c>
      <c r="O546" s="23"/>
      <c r="P546" s="18" t="s">
        <v>56</v>
      </c>
      <c r="Q546" s="72"/>
      <c r="R546" s="72"/>
      <c r="S546" s="25"/>
      <c r="T546" s="26"/>
      <c r="U546" s="26"/>
      <c r="V546" s="25"/>
      <c r="W546" s="26"/>
      <c r="X546" s="25"/>
      <c r="Y546" s="26">
        <f>T546+R546+Q546+U546+W546</f>
        <v>0</v>
      </c>
      <c r="Z546" s="27">
        <v>200</v>
      </c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>
        <f>SUM(AM546:AS546)</f>
        <v>0</v>
      </c>
      <c r="AM546" s="26"/>
      <c r="AN546" s="26"/>
      <c r="AO546" s="26"/>
      <c r="AP546" s="26"/>
      <c r="AQ546" s="26"/>
      <c r="AR546" s="26"/>
      <c r="AS546" s="26"/>
      <c r="AT546" s="28"/>
      <c r="AU546" s="28"/>
      <c r="AV546" s="26"/>
      <c r="AW546" s="26"/>
      <c r="AX546" s="28"/>
      <c r="AY546" s="72">
        <f>Y546-AV546-AX546-AW546</f>
        <v>0</v>
      </c>
      <c r="AZ546" s="68"/>
      <c r="BA546" s="26">
        <f>AL546+AG546+AA546+AT546</f>
        <v>0</v>
      </c>
      <c r="BB546" s="30">
        <f>BD546+AO546+AG546</f>
        <v>0</v>
      </c>
      <c r="BC546" s="30">
        <f>BD546+AS546</f>
        <v>0</v>
      </c>
      <c r="BD546" s="30">
        <f>IF(BA546&gt;0,Y546-BA546,BA546)</f>
        <v>0</v>
      </c>
      <c r="BE546" s="31"/>
      <c r="BF546" s="30" t="s">
        <v>57</v>
      </c>
      <c r="BG546" s="31">
        <f>BE546*Q546</f>
        <v>0</v>
      </c>
      <c r="BH546" s="31">
        <f>BE546*R546*0.4</f>
        <v>0</v>
      </c>
      <c r="BI546" s="31"/>
      <c r="BJ546" s="31"/>
      <c r="BK546" s="32">
        <f>Y546*BE546</f>
        <v>0</v>
      </c>
      <c r="BL546" s="25"/>
      <c r="BM546" s="25"/>
      <c r="BN546" s="25">
        <v>200</v>
      </c>
      <c r="BO546" s="25"/>
      <c r="BP546" s="25">
        <f>BE546*AV546</f>
        <v>0</v>
      </c>
      <c r="BQ546" s="25">
        <f>BE546*AX546</f>
        <v>0</v>
      </c>
      <c r="BR546" s="28"/>
      <c r="BS546" s="32"/>
    </row>
    <row r="547" spans="1:71" s="6" customFormat="1" ht="41.25" customHeight="1">
      <c r="A547" s="18">
        <v>544</v>
      </c>
      <c r="B547" s="18" t="s">
        <v>94</v>
      </c>
      <c r="C547" s="66" t="s">
        <v>209</v>
      </c>
      <c r="D547" s="18" t="s">
        <v>96</v>
      </c>
      <c r="E547" s="20" t="s">
        <v>1118</v>
      </c>
      <c r="F547" s="66" t="s">
        <v>209</v>
      </c>
      <c r="G547" s="66"/>
      <c r="H547" s="46"/>
      <c r="I547" s="46"/>
      <c r="J547" s="46"/>
      <c r="K547" s="46"/>
      <c r="L547" s="20" t="s">
        <v>53</v>
      </c>
      <c r="M547" s="22"/>
      <c r="N547" s="22" t="s">
        <v>1119</v>
      </c>
      <c r="O547" s="23"/>
      <c r="P547" s="18" t="s">
        <v>56</v>
      </c>
      <c r="Q547" s="72"/>
      <c r="R547" s="72"/>
      <c r="S547" s="25"/>
      <c r="T547" s="26"/>
      <c r="U547" s="26"/>
      <c r="V547" s="25"/>
      <c r="W547" s="26"/>
      <c r="X547" s="25"/>
      <c r="Y547" s="26">
        <f>T547+R547+Q547+U547+W547</f>
        <v>0</v>
      </c>
      <c r="Z547" s="27">
        <v>200</v>
      </c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>
        <f>SUM(AM547:AS547)</f>
        <v>0</v>
      </c>
      <c r="AM547" s="26"/>
      <c r="AN547" s="26"/>
      <c r="AO547" s="26"/>
      <c r="AP547" s="26"/>
      <c r="AQ547" s="26"/>
      <c r="AR547" s="26"/>
      <c r="AS547" s="26"/>
      <c r="AT547" s="28"/>
      <c r="AU547" s="28"/>
      <c r="AV547" s="26"/>
      <c r="AW547" s="26"/>
      <c r="AX547" s="28"/>
      <c r="AY547" s="72">
        <f>Y547-AV547-AX547-AW547</f>
        <v>0</v>
      </c>
      <c r="AZ547" s="68"/>
      <c r="BA547" s="26">
        <f>AL547+AG547+AA547+AT547</f>
        <v>0</v>
      </c>
      <c r="BB547" s="30">
        <f>BD547+AO547+AG547</f>
        <v>0</v>
      </c>
      <c r="BC547" s="30">
        <f>BD547+AS547</f>
        <v>0</v>
      </c>
      <c r="BD547" s="30">
        <f>IF(BA547&gt;0,Y547-BA547,BA547)</f>
        <v>0</v>
      </c>
      <c r="BE547" s="31"/>
      <c r="BF547" s="30" t="s">
        <v>57</v>
      </c>
      <c r="BG547" s="31">
        <f>BE547*Q547</f>
        <v>0</v>
      </c>
      <c r="BH547" s="31">
        <f>BE547*R547*0.4</f>
        <v>0</v>
      </c>
      <c r="BI547" s="31"/>
      <c r="BJ547" s="31"/>
      <c r="BK547" s="32">
        <f>Y547*BE547</f>
        <v>0</v>
      </c>
      <c r="BL547" s="25"/>
      <c r="BM547" s="25"/>
      <c r="BN547" s="25"/>
      <c r="BO547" s="25">
        <v>200</v>
      </c>
      <c r="BP547" s="25">
        <f>BE547*AV547</f>
        <v>0</v>
      </c>
      <c r="BQ547" s="25">
        <f>BE547*AX547</f>
        <v>0</v>
      </c>
      <c r="BR547" s="26"/>
      <c r="BS547" s="32"/>
    </row>
    <row r="548" spans="1:71" s="6" customFormat="1" ht="41.25" customHeight="1">
      <c r="A548" s="18">
        <v>545</v>
      </c>
      <c r="B548" s="18" t="s">
        <v>87</v>
      </c>
      <c r="C548" s="18" t="s">
        <v>172</v>
      </c>
      <c r="D548" s="47" t="s">
        <v>89</v>
      </c>
      <c r="E548" s="20" t="s">
        <v>839</v>
      </c>
      <c r="F548" s="71" t="s">
        <v>281</v>
      </c>
      <c r="G548" s="71"/>
      <c r="H548" s="22"/>
      <c r="I548" s="22" t="s">
        <v>129</v>
      </c>
      <c r="J548" s="22"/>
      <c r="K548" s="22"/>
      <c r="L548" s="20" t="s">
        <v>53</v>
      </c>
      <c r="M548" s="22"/>
      <c r="N548" s="22" t="s">
        <v>1120</v>
      </c>
      <c r="O548" s="23" t="s">
        <v>1121</v>
      </c>
      <c r="P548" s="18" t="s">
        <v>56</v>
      </c>
      <c r="Q548" s="72"/>
      <c r="R548" s="72"/>
      <c r="S548" s="25">
        <v>200</v>
      </c>
      <c r="T548" s="26"/>
      <c r="U548" s="26"/>
      <c r="V548" s="25"/>
      <c r="W548" s="26"/>
      <c r="X548" s="25"/>
      <c r="Y548" s="26">
        <f>T548+R548+Q548+U548+W548</f>
        <v>0</v>
      </c>
      <c r="Z548" s="27">
        <v>200</v>
      </c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>
        <f>SUM(AM548:AS548)</f>
        <v>0</v>
      </c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72">
        <f>Y548-AV548-AX548-AW548</f>
        <v>0</v>
      </c>
      <c r="AZ548" s="68"/>
      <c r="BA548" s="26">
        <f>AL548+AG548+AA548+AT548</f>
        <v>0</v>
      </c>
      <c r="BB548" s="30">
        <f>BD548+AO548+AG548</f>
        <v>0</v>
      </c>
      <c r="BC548" s="30">
        <f>BD548+AS548</f>
        <v>0</v>
      </c>
      <c r="BD548" s="30">
        <f>IF(BA548&gt;0,Y548-BA548,BA548)</f>
        <v>0</v>
      </c>
      <c r="BE548" s="31">
        <v>30</v>
      </c>
      <c r="BF548" s="30" t="s">
        <v>57</v>
      </c>
      <c r="BG548" s="31">
        <f>BE548*Q548</f>
        <v>0</v>
      </c>
      <c r="BH548" s="31">
        <f>BE548*R548*0.4</f>
        <v>0</v>
      </c>
      <c r="BI548" s="31"/>
      <c r="BJ548" s="31"/>
      <c r="BK548" s="32">
        <f>Y548*BE548</f>
        <v>0</v>
      </c>
      <c r="BL548" s="25"/>
      <c r="BM548" s="25"/>
      <c r="BN548" s="25"/>
      <c r="BO548" s="25"/>
      <c r="BP548" s="25">
        <f>BE548*AV548</f>
        <v>0</v>
      </c>
      <c r="BQ548" s="25">
        <f>BE548*AX548</f>
        <v>0</v>
      </c>
      <c r="BR548" s="26"/>
      <c r="BS548" s="32"/>
    </row>
    <row r="549" spans="1:71" s="6" customFormat="1" ht="41.25" customHeight="1">
      <c r="A549" s="18">
        <v>546</v>
      </c>
      <c r="B549" s="18" t="s">
        <v>94</v>
      </c>
      <c r="C549" s="18" t="s">
        <v>200</v>
      </c>
      <c r="D549" s="18" t="s">
        <v>96</v>
      </c>
      <c r="E549" s="20" t="s">
        <v>1122</v>
      </c>
      <c r="F549" s="48" t="s">
        <v>98</v>
      </c>
      <c r="G549" s="48"/>
      <c r="H549" s="22"/>
      <c r="I549" s="22"/>
      <c r="J549" s="22"/>
      <c r="K549" s="22"/>
      <c r="L549" s="20" t="s">
        <v>53</v>
      </c>
      <c r="M549" s="22"/>
      <c r="N549" s="22" t="s">
        <v>1123</v>
      </c>
      <c r="O549" s="23"/>
      <c r="P549" s="18" t="s">
        <v>56</v>
      </c>
      <c r="Q549" s="72"/>
      <c r="R549" s="72"/>
      <c r="S549" s="25">
        <v>40</v>
      </c>
      <c r="T549" s="26"/>
      <c r="U549" s="26"/>
      <c r="V549" s="25">
        <v>40</v>
      </c>
      <c r="W549" s="26"/>
      <c r="X549" s="25"/>
      <c r="Y549" s="26">
        <f>T549+R549+Q549+U549+W549</f>
        <v>0</v>
      </c>
      <c r="Z549" s="27">
        <v>280</v>
      </c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>
        <f>SUM(AM549:AS549)</f>
        <v>0</v>
      </c>
      <c r="AM549" s="26"/>
      <c r="AN549" s="26"/>
      <c r="AO549" s="26"/>
      <c r="AP549" s="26"/>
      <c r="AQ549" s="26"/>
      <c r="AR549" s="26"/>
      <c r="AS549" s="26"/>
      <c r="AT549" s="28"/>
      <c r="AU549" s="28"/>
      <c r="AV549" s="26"/>
      <c r="AW549" s="26"/>
      <c r="AX549" s="28"/>
      <c r="AY549" s="72">
        <f>Y549-AV549-AX549-AW549</f>
        <v>0</v>
      </c>
      <c r="AZ549" s="68"/>
      <c r="BA549" s="26">
        <f>AL549+AG549+AA549+AT549</f>
        <v>0</v>
      </c>
      <c r="BB549" s="30">
        <f>BD549+AO549+AG549</f>
        <v>0</v>
      </c>
      <c r="BC549" s="30">
        <f>BD549+AS549</f>
        <v>0</v>
      </c>
      <c r="BD549" s="30">
        <f>IF(BA549&gt;0,Y549-BA549,BA549)</f>
        <v>0</v>
      </c>
      <c r="BE549" s="31">
        <v>8</v>
      </c>
      <c r="BF549" s="30" t="s">
        <v>57</v>
      </c>
      <c r="BG549" s="31">
        <f>BE549*Q549</f>
        <v>0</v>
      </c>
      <c r="BH549" s="31">
        <f>BE549*R549*0.4</f>
        <v>0</v>
      </c>
      <c r="BI549" s="31"/>
      <c r="BJ549" s="31"/>
      <c r="BK549" s="32">
        <f>Y549*BE549</f>
        <v>0</v>
      </c>
      <c r="BL549" s="25"/>
      <c r="BM549" s="25"/>
      <c r="BN549" s="25"/>
      <c r="BO549" s="25">
        <v>200</v>
      </c>
      <c r="BP549" s="25">
        <f>BE549*AV549</f>
        <v>0</v>
      </c>
      <c r="BQ549" s="25">
        <f>BE549*AX549</f>
        <v>0</v>
      </c>
      <c r="BR549" s="28"/>
      <c r="BS549" s="32"/>
    </row>
    <row r="550" spans="1:71" s="6" customFormat="1" ht="41.25" customHeight="1">
      <c r="A550" s="18">
        <v>547</v>
      </c>
      <c r="B550" s="18" t="s">
        <v>94</v>
      </c>
      <c r="C550" s="18" t="s">
        <v>485</v>
      </c>
      <c r="D550" s="18" t="s">
        <v>96</v>
      </c>
      <c r="E550" s="22" t="s">
        <v>1098</v>
      </c>
      <c r="F550" s="58" t="s">
        <v>146</v>
      </c>
      <c r="G550" s="58"/>
      <c r="H550" s="22"/>
      <c r="I550" s="22"/>
      <c r="J550" s="22"/>
      <c r="K550" s="22"/>
      <c r="L550" s="22"/>
      <c r="M550" s="22"/>
      <c r="N550" s="22" t="s">
        <v>1124</v>
      </c>
      <c r="O550" s="23"/>
      <c r="P550" s="18" t="s">
        <v>56</v>
      </c>
      <c r="Q550" s="72"/>
      <c r="R550" s="72"/>
      <c r="S550" s="25">
        <v>40</v>
      </c>
      <c r="T550" s="26"/>
      <c r="U550" s="26"/>
      <c r="V550" s="25">
        <v>40</v>
      </c>
      <c r="W550" s="26"/>
      <c r="X550" s="25">
        <v>40</v>
      </c>
      <c r="Y550" s="26">
        <f>T550+R550+Q550+U550+W550</f>
        <v>0</v>
      </c>
      <c r="Z550" s="27">
        <v>280</v>
      </c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>
        <f>SUM(AM550:AS550)</f>
        <v>0</v>
      </c>
      <c r="AM550" s="26"/>
      <c r="AN550" s="26"/>
      <c r="AO550" s="26"/>
      <c r="AP550" s="26"/>
      <c r="AQ550" s="26"/>
      <c r="AR550" s="26"/>
      <c r="AS550" s="26"/>
      <c r="AT550" s="28"/>
      <c r="AU550" s="28"/>
      <c r="AV550" s="26"/>
      <c r="AW550" s="26"/>
      <c r="AX550" s="28"/>
      <c r="AY550" s="72">
        <f>Y550-AV550-AX550-AW550</f>
        <v>0</v>
      </c>
      <c r="AZ550" s="68"/>
      <c r="BA550" s="26">
        <f>AL550+AG550+AA550+AT550</f>
        <v>0</v>
      </c>
      <c r="BB550" s="30">
        <f>BD550+AO550+AG550</f>
        <v>0</v>
      </c>
      <c r="BC550" s="30">
        <f>BD550+AS550</f>
        <v>0</v>
      </c>
      <c r="BD550" s="30">
        <f>IF(BA550&gt;0,Y550-BA550,BA550)</f>
        <v>0</v>
      </c>
      <c r="BE550" s="31">
        <v>8</v>
      </c>
      <c r="BF550" s="30" t="s">
        <v>57</v>
      </c>
      <c r="BG550" s="31">
        <f>BE550*Q550</f>
        <v>0</v>
      </c>
      <c r="BH550" s="31">
        <f>BE550*R550*0.4</f>
        <v>0</v>
      </c>
      <c r="BI550" s="31"/>
      <c r="BJ550" s="31"/>
      <c r="BK550" s="32">
        <f>Y550*BE550</f>
        <v>0</v>
      </c>
      <c r="BL550" s="25">
        <v>40</v>
      </c>
      <c r="BM550" s="25">
        <v>40</v>
      </c>
      <c r="BN550" s="25">
        <v>40</v>
      </c>
      <c r="BO550" s="25">
        <v>40</v>
      </c>
      <c r="BP550" s="25">
        <f>BE550*AV550</f>
        <v>0</v>
      </c>
      <c r="BQ550" s="25">
        <f>BE550*AX550</f>
        <v>0</v>
      </c>
      <c r="BR550" s="26"/>
      <c r="BS550" s="32"/>
    </row>
    <row r="551" spans="1:71" s="6" customFormat="1" ht="41.25" customHeight="1">
      <c r="A551" s="18">
        <v>548</v>
      </c>
      <c r="B551" s="18" t="s">
        <v>58</v>
      </c>
      <c r="C551" s="18" t="s">
        <v>259</v>
      </c>
      <c r="D551" s="21" t="s">
        <v>50</v>
      </c>
      <c r="E551" s="20" t="s">
        <v>1125</v>
      </c>
      <c r="F551" s="52" t="s">
        <v>123</v>
      </c>
      <c r="G551" s="52"/>
      <c r="H551" s="22">
        <v>200</v>
      </c>
      <c r="I551" s="22">
        <v>300</v>
      </c>
      <c r="J551" s="22"/>
      <c r="K551" s="22"/>
      <c r="L551" s="20" t="s">
        <v>53</v>
      </c>
      <c r="M551" s="22"/>
      <c r="N551" s="22" t="s">
        <v>1126</v>
      </c>
      <c r="O551" s="23" t="s">
        <v>1127</v>
      </c>
      <c r="P551" s="18" t="s">
        <v>56</v>
      </c>
      <c r="Q551" s="72"/>
      <c r="R551" s="72"/>
      <c r="S551" s="25">
        <v>260</v>
      </c>
      <c r="T551" s="26"/>
      <c r="U551" s="26"/>
      <c r="V551" s="25">
        <v>260</v>
      </c>
      <c r="W551" s="26"/>
      <c r="X551" s="25">
        <v>156</v>
      </c>
      <c r="Y551" s="26">
        <f>T551+R551+Q551+U551+W551</f>
        <v>0</v>
      </c>
      <c r="Z551" s="27">
        <v>1300</v>
      </c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>
        <f>SUM(AM551:AS551)</f>
        <v>0</v>
      </c>
      <c r="AM551" s="26"/>
      <c r="AN551" s="26"/>
      <c r="AO551" s="26"/>
      <c r="AP551" s="26"/>
      <c r="AQ551" s="26"/>
      <c r="AR551" s="26"/>
      <c r="AS551" s="26"/>
      <c r="AT551" s="28"/>
      <c r="AU551" s="28"/>
      <c r="AV551" s="26"/>
      <c r="AW551" s="26"/>
      <c r="AX551" s="28"/>
      <c r="AY551" s="72">
        <f>Y551-AV551-AX551-AW551</f>
        <v>0</v>
      </c>
      <c r="AZ551" s="68"/>
      <c r="BA551" s="26">
        <f>AL551+AG551+AA551+AT551</f>
        <v>0</v>
      </c>
      <c r="BB551" s="30">
        <f>BD551+AO551+AG551</f>
        <v>0</v>
      </c>
      <c r="BC551" s="30">
        <f>BD551+AS551</f>
        <v>0</v>
      </c>
      <c r="BD551" s="30">
        <f>IF(BA551&gt;0,Y551-BA551,BA551)</f>
        <v>0</v>
      </c>
      <c r="BE551" s="31">
        <v>7</v>
      </c>
      <c r="BF551" s="30" t="s">
        <v>57</v>
      </c>
      <c r="BG551" s="31">
        <f>BE551*Q551</f>
        <v>0</v>
      </c>
      <c r="BH551" s="31">
        <f>BE551*R551*0.4</f>
        <v>0</v>
      </c>
      <c r="BI551" s="142"/>
      <c r="BJ551" s="142"/>
      <c r="BK551" s="32">
        <f>Y551*BE551</f>
        <v>0</v>
      </c>
      <c r="BL551" s="25">
        <v>156</v>
      </c>
      <c r="BM551" s="25">
        <v>156</v>
      </c>
      <c r="BN551" s="25">
        <v>156</v>
      </c>
      <c r="BO551" s="25">
        <v>156</v>
      </c>
      <c r="BP551" s="25">
        <f>BE551*AV551</f>
        <v>0</v>
      </c>
      <c r="BQ551" s="25">
        <f>BE551*AX551</f>
        <v>0</v>
      </c>
      <c r="BR551" s="26"/>
      <c r="BS551" s="32"/>
    </row>
    <row r="552" spans="1:71" s="6" customFormat="1" ht="41.25" customHeight="1">
      <c r="A552" s="18">
        <v>549</v>
      </c>
      <c r="B552" s="18" t="s">
        <v>87</v>
      </c>
      <c r="C552" s="65" t="s">
        <v>125</v>
      </c>
      <c r="D552" s="47" t="s">
        <v>89</v>
      </c>
      <c r="E552" s="20" t="s">
        <v>1083</v>
      </c>
      <c r="F552" s="21" t="s">
        <v>52</v>
      </c>
      <c r="G552" s="21"/>
      <c r="H552" s="22"/>
      <c r="I552" s="22" t="s">
        <v>345</v>
      </c>
      <c r="J552" s="22"/>
      <c r="K552" s="22"/>
      <c r="L552" s="20" t="s">
        <v>53</v>
      </c>
      <c r="M552" s="22"/>
      <c r="N552" s="22" t="s">
        <v>1128</v>
      </c>
      <c r="O552" s="23" t="s">
        <v>1127</v>
      </c>
      <c r="P552" s="18" t="s">
        <v>56</v>
      </c>
      <c r="Q552" s="72"/>
      <c r="R552" s="72"/>
      <c r="S552" s="25">
        <v>200</v>
      </c>
      <c r="T552" s="26"/>
      <c r="U552" s="26"/>
      <c r="V552" s="25"/>
      <c r="W552" s="26"/>
      <c r="X552" s="25"/>
      <c r="Y552" s="26">
        <f>T552+R552+Q552+U552+W552</f>
        <v>0</v>
      </c>
      <c r="Z552" s="27">
        <v>200</v>
      </c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>
        <f>SUM(AM552:AS552)</f>
        <v>0</v>
      </c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72">
        <f>Y552-AV552-AX552-AW552</f>
        <v>0</v>
      </c>
      <c r="AZ552" s="68"/>
      <c r="BA552" s="26">
        <f>AL552+AG552+AA552+AT552</f>
        <v>0</v>
      </c>
      <c r="BB552" s="30">
        <f>BD552+AO552+AG552</f>
        <v>0</v>
      </c>
      <c r="BC552" s="30">
        <f>BD552+AS552</f>
        <v>0</v>
      </c>
      <c r="BD552" s="30">
        <f>IF(BA552&gt;0,Y552-BA552,BA552)</f>
        <v>0</v>
      </c>
      <c r="BE552" s="31">
        <v>3.75</v>
      </c>
      <c r="BF552" s="30" t="s">
        <v>57</v>
      </c>
      <c r="BG552" s="31">
        <f>BE552*Q552</f>
        <v>0</v>
      </c>
      <c r="BH552" s="31">
        <f>BE552*R552*0.4</f>
        <v>0</v>
      </c>
      <c r="BI552" s="142"/>
      <c r="BJ552" s="142"/>
      <c r="BK552" s="32">
        <f>Y552*BE552</f>
        <v>0</v>
      </c>
      <c r="BL552" s="25"/>
      <c r="BM552" s="25"/>
      <c r="BN552" s="25"/>
      <c r="BO552" s="25"/>
      <c r="BP552" s="25">
        <f>BE552*AV552</f>
        <v>0</v>
      </c>
      <c r="BQ552" s="25">
        <f>BE552*AX552</f>
        <v>0</v>
      </c>
      <c r="BR552" s="26"/>
      <c r="BS552" s="32"/>
    </row>
    <row r="553" spans="1:71" s="6" customFormat="1" ht="41.25" customHeight="1">
      <c r="A553" s="18">
        <v>550</v>
      </c>
      <c r="B553" s="18" t="s">
        <v>94</v>
      </c>
      <c r="C553" s="18" t="s">
        <v>459</v>
      </c>
      <c r="D553" s="18" t="s">
        <v>96</v>
      </c>
      <c r="E553" s="22" t="s">
        <v>277</v>
      </c>
      <c r="F553" s="48" t="s">
        <v>98</v>
      </c>
      <c r="G553" s="48"/>
      <c r="H553" s="22"/>
      <c r="I553" s="22"/>
      <c r="J553" s="22"/>
      <c r="K553" s="22"/>
      <c r="L553" s="22"/>
      <c r="M553" s="22"/>
      <c r="N553" s="22" t="s">
        <v>1129</v>
      </c>
      <c r="O553" s="23"/>
      <c r="P553" s="18" t="s">
        <v>56</v>
      </c>
      <c r="Q553" s="42"/>
      <c r="R553" s="72"/>
      <c r="S553" s="25"/>
      <c r="T553" s="26"/>
      <c r="U553" s="26"/>
      <c r="V553" s="25"/>
      <c r="W553" s="29">
        <v>95</v>
      </c>
      <c r="X553" s="25">
        <v>40</v>
      </c>
      <c r="Y553" s="53">
        <f>T553+R553+Q553+U553+W553</f>
        <v>95</v>
      </c>
      <c r="Z553" s="27">
        <v>200</v>
      </c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>
        <f>SUM(AM553:AS553)</f>
        <v>0</v>
      </c>
      <c r="AM553" s="26"/>
      <c r="AN553" s="26"/>
      <c r="AO553" s="26"/>
      <c r="AP553" s="26"/>
      <c r="AQ553" s="26"/>
      <c r="AR553" s="26"/>
      <c r="AS553" s="26"/>
      <c r="AT553" s="28"/>
      <c r="AU553" s="28"/>
      <c r="AV553" s="26"/>
      <c r="AW553" s="26"/>
      <c r="AX553" s="28"/>
      <c r="AY553" s="29">
        <f>Y553-AV553-AX553-AW553</f>
        <v>95</v>
      </c>
      <c r="AZ553" s="29">
        <f>'Layout for shadhous 3'!M64</f>
        <v>95</v>
      </c>
      <c r="BA553" s="26">
        <f>AL553+AG553+AA553+AT553</f>
        <v>0</v>
      </c>
      <c r="BB553" s="30">
        <f>BD553+AO553+AG553</f>
        <v>0</v>
      </c>
      <c r="BC553" s="30">
        <f>BD553+AS553</f>
        <v>0</v>
      </c>
      <c r="BD553" s="30">
        <f>IF(BA553&gt;0,Y553-BA553,BA553)</f>
        <v>0</v>
      </c>
      <c r="BE553" s="31">
        <v>8</v>
      </c>
      <c r="BF553" s="30" t="s">
        <v>57</v>
      </c>
      <c r="BG553" s="31">
        <f>BE553*Q553</f>
        <v>0</v>
      </c>
      <c r="BH553" s="31">
        <f>BE553*R553*0.4</f>
        <v>0</v>
      </c>
      <c r="BI553" s="142"/>
      <c r="BJ553" s="142"/>
      <c r="BK553" s="32">
        <f>Y553*BE553</f>
        <v>760</v>
      </c>
      <c r="BL553" s="25">
        <v>40</v>
      </c>
      <c r="BM553" s="25">
        <v>40</v>
      </c>
      <c r="BN553" s="25">
        <v>40</v>
      </c>
      <c r="BO553" s="25">
        <v>40</v>
      </c>
      <c r="BP553" s="25">
        <f>BE553*AV553</f>
        <v>0</v>
      </c>
      <c r="BQ553" s="25">
        <f>BE553*AX553</f>
        <v>0</v>
      </c>
      <c r="BR553" s="26"/>
      <c r="BS553" s="32"/>
    </row>
    <row r="554" spans="1:71" s="6" customFormat="1" ht="41.25" customHeight="1">
      <c r="A554" s="18">
        <v>551</v>
      </c>
      <c r="B554" s="18" t="s">
        <v>94</v>
      </c>
      <c r="C554" s="18" t="s">
        <v>158</v>
      </c>
      <c r="D554" s="18" t="s">
        <v>96</v>
      </c>
      <c r="E554" s="20" t="s">
        <v>136</v>
      </c>
      <c r="F554" s="52" t="s">
        <v>123</v>
      </c>
      <c r="G554" s="52"/>
      <c r="H554" s="22"/>
      <c r="I554" s="22"/>
      <c r="J554" s="22"/>
      <c r="K554" s="22"/>
      <c r="L554" s="20" t="s">
        <v>53</v>
      </c>
      <c r="M554" s="22"/>
      <c r="N554" s="22" t="s">
        <v>1130</v>
      </c>
      <c r="O554" s="23"/>
      <c r="P554" s="18" t="s">
        <v>56</v>
      </c>
      <c r="Q554" s="72"/>
      <c r="R554" s="72"/>
      <c r="S554" s="25"/>
      <c r="T554" s="26"/>
      <c r="U554" s="26"/>
      <c r="V554" s="25"/>
      <c r="W554" s="26"/>
      <c r="X554" s="25"/>
      <c r="Y554" s="26">
        <f>T554+R554+Q554+U554+W554</f>
        <v>0</v>
      </c>
      <c r="Z554" s="27">
        <v>200</v>
      </c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>
        <f>SUM(AM554:AS554)</f>
        <v>0</v>
      </c>
      <c r="AM554" s="26"/>
      <c r="AN554" s="26"/>
      <c r="AO554" s="26"/>
      <c r="AP554" s="26"/>
      <c r="AQ554" s="26"/>
      <c r="AR554" s="26"/>
      <c r="AS554" s="26"/>
      <c r="AT554" s="28"/>
      <c r="AU554" s="28"/>
      <c r="AV554" s="26"/>
      <c r="AW554" s="26"/>
      <c r="AX554" s="28"/>
      <c r="AY554" s="72">
        <f>Y554-AV554-AX554-AW554</f>
        <v>0</v>
      </c>
      <c r="AZ554" s="68"/>
      <c r="BA554" s="26">
        <f>AL554+AG554+AA554+AT554</f>
        <v>0</v>
      </c>
      <c r="BB554" s="30">
        <f>BD554+AO554+AG554</f>
        <v>0</v>
      </c>
      <c r="BC554" s="30">
        <f>BD554+AS554</f>
        <v>0</v>
      </c>
      <c r="BD554" s="30">
        <f>IF(BA554&gt;0,Y554-BA554,BA554)</f>
        <v>0</v>
      </c>
      <c r="BE554" s="31"/>
      <c r="BF554" s="30" t="s">
        <v>57</v>
      </c>
      <c r="BG554" s="31">
        <f>BE554*Q554</f>
        <v>0</v>
      </c>
      <c r="BH554" s="31">
        <f>BE554*R554*0.4</f>
        <v>0</v>
      </c>
      <c r="BI554" s="142"/>
      <c r="BJ554" s="142"/>
      <c r="BK554" s="32">
        <f>Y554*BE554</f>
        <v>0</v>
      </c>
      <c r="BL554" s="25"/>
      <c r="BM554" s="25"/>
      <c r="BN554" s="25">
        <v>200</v>
      </c>
      <c r="BO554" s="25"/>
      <c r="BP554" s="25">
        <f>BE554*AV554</f>
        <v>0</v>
      </c>
      <c r="BQ554" s="25">
        <f>BE554*AX554</f>
        <v>0</v>
      </c>
      <c r="BR554" s="26"/>
      <c r="BS554" s="32"/>
    </row>
    <row r="555" spans="1:71" s="6" customFormat="1" ht="41.25" customHeight="1">
      <c r="A555" s="18">
        <v>552</v>
      </c>
      <c r="B555" s="18" t="s">
        <v>94</v>
      </c>
      <c r="C555" s="18" t="s">
        <v>200</v>
      </c>
      <c r="D555" s="18" t="s">
        <v>96</v>
      </c>
      <c r="E555" s="22" t="s">
        <v>1122</v>
      </c>
      <c r="F555" s="48" t="s">
        <v>98</v>
      </c>
      <c r="G555" s="48"/>
      <c r="H555" s="22"/>
      <c r="I555" s="22"/>
      <c r="J555" s="22"/>
      <c r="K555" s="22"/>
      <c r="L555" s="22"/>
      <c r="M555" s="22"/>
      <c r="N555" s="22" t="s">
        <v>1131</v>
      </c>
      <c r="O555" s="23"/>
      <c r="P555" s="38" t="s">
        <v>56</v>
      </c>
      <c r="Q555" s="29">
        <v>40</v>
      </c>
      <c r="R555" s="72"/>
      <c r="S555" s="40">
        <v>40</v>
      </c>
      <c r="T555" s="29">
        <v>4</v>
      </c>
      <c r="U555" s="26"/>
      <c r="V555" s="25">
        <v>40</v>
      </c>
      <c r="W555" s="26"/>
      <c r="X555" s="25">
        <v>20</v>
      </c>
      <c r="Y555" s="53">
        <f>T555+R555+Q555+U555+W555</f>
        <v>44</v>
      </c>
      <c r="Z555" s="27">
        <v>280</v>
      </c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>
        <f>SUM(AM555:AS555)</f>
        <v>0</v>
      </c>
      <c r="AM555" s="26"/>
      <c r="AN555" s="26"/>
      <c r="AO555" s="26"/>
      <c r="AP555" s="26"/>
      <c r="AQ555" s="26"/>
      <c r="AR555" s="26"/>
      <c r="AS555" s="26"/>
      <c r="AT555" s="28"/>
      <c r="AU555" s="28"/>
      <c r="AV555" s="26"/>
      <c r="AW555" s="26"/>
      <c r="AX555" s="28"/>
      <c r="AY555" s="29">
        <f>Y555-AV555-AX555-AW555</f>
        <v>44</v>
      </c>
      <c r="AZ555" s="29">
        <f>'Layout for shadhous 3'!M65</f>
        <v>44</v>
      </c>
      <c r="BA555" s="26">
        <f>AL555+AG555+AA555+AT555</f>
        <v>0</v>
      </c>
      <c r="BB555" s="30">
        <f>BD555+AO555+AG555</f>
        <v>0</v>
      </c>
      <c r="BC555" s="30">
        <f>BD555+AS555</f>
        <v>0</v>
      </c>
      <c r="BD555" s="30">
        <f>IF(BA555&gt;0,Y555-BA555,BA555)</f>
        <v>0</v>
      </c>
      <c r="BE555" s="31">
        <v>5</v>
      </c>
      <c r="BF555" s="30" t="s">
        <v>57</v>
      </c>
      <c r="BG555" s="31">
        <f>BE555*Q555</f>
        <v>200</v>
      </c>
      <c r="BH555" s="31">
        <f>BE555*R555*0.4</f>
        <v>0</v>
      </c>
      <c r="BI555" s="142"/>
      <c r="BJ555" s="142"/>
      <c r="BK555" s="32">
        <f>Y555*BE555</f>
        <v>220</v>
      </c>
      <c r="BL555" s="25">
        <v>20</v>
      </c>
      <c r="BM555" s="25">
        <v>20</v>
      </c>
      <c r="BN555" s="25">
        <v>20</v>
      </c>
      <c r="BO555" s="25">
        <v>20</v>
      </c>
      <c r="BP555" s="25">
        <f>BE555*AV555</f>
        <v>0</v>
      </c>
      <c r="BQ555" s="25">
        <f>BE555*AX555</f>
        <v>0</v>
      </c>
      <c r="BR555" s="26"/>
      <c r="BS555" s="32"/>
    </row>
    <row r="556" spans="1:71" s="6" customFormat="1" ht="41.25" customHeight="1">
      <c r="A556" s="18">
        <v>553</v>
      </c>
      <c r="B556" s="18" t="s">
        <v>48</v>
      </c>
      <c r="C556" s="18" t="s">
        <v>49</v>
      </c>
      <c r="D556" s="19" t="s">
        <v>50</v>
      </c>
      <c r="E556" s="20" t="s">
        <v>1079</v>
      </c>
      <c r="F556" s="52" t="s">
        <v>123</v>
      </c>
      <c r="G556" s="52"/>
      <c r="H556" s="22">
        <v>120</v>
      </c>
      <c r="I556" s="22">
        <v>200</v>
      </c>
      <c r="J556" s="22"/>
      <c r="K556" s="22"/>
      <c r="L556" s="20" t="s">
        <v>53</v>
      </c>
      <c r="M556" s="22"/>
      <c r="N556" s="22" t="s">
        <v>1132</v>
      </c>
      <c r="O556" s="23" t="s">
        <v>1133</v>
      </c>
      <c r="P556" s="18" t="s">
        <v>56</v>
      </c>
      <c r="Q556" s="72"/>
      <c r="R556" s="72"/>
      <c r="S556" s="25">
        <v>260</v>
      </c>
      <c r="T556" s="26"/>
      <c r="U556" s="26"/>
      <c r="V556" s="25">
        <v>260</v>
      </c>
      <c r="W556" s="26"/>
      <c r="X556" s="25">
        <v>156</v>
      </c>
      <c r="Y556" s="26">
        <f>T556+R556+Q556+U556+W556</f>
        <v>0</v>
      </c>
      <c r="Z556" s="27">
        <v>1300</v>
      </c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>
        <f>SUM(AM556:AS556)</f>
        <v>0</v>
      </c>
      <c r="AM556" s="26"/>
      <c r="AN556" s="26"/>
      <c r="AO556" s="26"/>
      <c r="AP556" s="26"/>
      <c r="AQ556" s="26"/>
      <c r="AR556" s="26"/>
      <c r="AS556" s="26"/>
      <c r="AT556" s="28"/>
      <c r="AU556" s="28"/>
      <c r="AV556" s="26"/>
      <c r="AW556" s="26"/>
      <c r="AX556" s="28"/>
      <c r="AY556" s="72">
        <f>Y556-AV556-AX556-AW556</f>
        <v>0</v>
      </c>
      <c r="AZ556" s="68"/>
      <c r="BA556" s="26">
        <f>AL556+AG556+AA556+AT556</f>
        <v>0</v>
      </c>
      <c r="BB556" s="30">
        <f>BD556+AO556+AG556</f>
        <v>0</v>
      </c>
      <c r="BC556" s="30">
        <f>BD556+AS556</f>
        <v>0</v>
      </c>
      <c r="BD556" s="30">
        <f>IF(BA556&gt;0,Y556-BA556,BA556)</f>
        <v>0</v>
      </c>
      <c r="BE556" s="31">
        <v>7</v>
      </c>
      <c r="BF556" s="30" t="s">
        <v>57</v>
      </c>
      <c r="BG556" s="31">
        <f>BE556*Q556</f>
        <v>0</v>
      </c>
      <c r="BH556" s="31">
        <f>BE556*R556*0.4</f>
        <v>0</v>
      </c>
      <c r="BI556" s="142"/>
      <c r="BJ556" s="142"/>
      <c r="BK556" s="32">
        <f>Y556*BE556</f>
        <v>0</v>
      </c>
      <c r="BL556" s="25">
        <v>156</v>
      </c>
      <c r="BM556" s="25">
        <v>156</v>
      </c>
      <c r="BN556" s="25">
        <v>156</v>
      </c>
      <c r="BO556" s="25">
        <v>156</v>
      </c>
      <c r="BP556" s="25">
        <f>BE556*AV556</f>
        <v>0</v>
      </c>
      <c r="BQ556" s="25">
        <f>BE556*AX556</f>
        <v>0</v>
      </c>
      <c r="BR556" s="26"/>
      <c r="BS556" s="32"/>
    </row>
    <row r="557" spans="1:71" s="6" customFormat="1" ht="41.25" customHeight="1">
      <c r="A557" s="18">
        <v>554</v>
      </c>
      <c r="B557" s="51" t="s">
        <v>48</v>
      </c>
      <c r="C557" s="18" t="s">
        <v>49</v>
      </c>
      <c r="D557" s="19" t="s">
        <v>50</v>
      </c>
      <c r="E557" s="20" t="s">
        <v>1137</v>
      </c>
      <c r="F557" s="52" t="s">
        <v>123</v>
      </c>
      <c r="G557" s="52"/>
      <c r="H557" s="22">
        <v>150</v>
      </c>
      <c r="I557" s="22">
        <v>250</v>
      </c>
      <c r="J557" s="22"/>
      <c r="K557" s="22"/>
      <c r="L557" s="20" t="s">
        <v>53</v>
      </c>
      <c r="M557" s="22"/>
      <c r="N557" s="22" t="s">
        <v>1138</v>
      </c>
      <c r="O557" s="23" t="s">
        <v>1139</v>
      </c>
      <c r="P557" s="38" t="s">
        <v>56</v>
      </c>
      <c r="Q557" s="29">
        <v>736</v>
      </c>
      <c r="R557" s="72"/>
      <c r="S557" s="40">
        <v>1360</v>
      </c>
      <c r="T557" s="26"/>
      <c r="U557" s="26"/>
      <c r="V557" s="25">
        <v>1360</v>
      </c>
      <c r="W557" s="26"/>
      <c r="X557" s="25">
        <v>816</v>
      </c>
      <c r="Y557" s="29">
        <f>T557+R557+Q557+U557+W557</f>
        <v>736</v>
      </c>
      <c r="Z557" s="27">
        <v>6800</v>
      </c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>
        <f>SUM(AM557:AS557)</f>
        <v>0</v>
      </c>
      <c r="AM557" s="26"/>
      <c r="AN557" s="26"/>
      <c r="AO557" s="26"/>
      <c r="AP557" s="26"/>
      <c r="AQ557" s="26"/>
      <c r="AR557" s="26"/>
      <c r="AS557" s="26"/>
      <c r="AT557" s="28"/>
      <c r="AU557" s="28"/>
      <c r="AV557" s="26"/>
      <c r="AW557" s="26"/>
      <c r="AX557" s="28"/>
      <c r="AY557" s="29">
        <f>Y557-AV557-AX557-AW557</f>
        <v>736</v>
      </c>
      <c r="AZ557" s="29">
        <f>'Layout for shadhous 3'!Q49</f>
        <v>736</v>
      </c>
      <c r="BA557" s="26">
        <f>AL557+AG557+AA557+AT557</f>
        <v>0</v>
      </c>
      <c r="BB557" s="30">
        <f>BD557+AO557+AG557</f>
        <v>0</v>
      </c>
      <c r="BC557" s="30">
        <f>BD557+AS557</f>
        <v>0</v>
      </c>
      <c r="BD557" s="30">
        <f>IF(BA557&gt;0,Y557-BA557,BA557)</f>
        <v>0</v>
      </c>
      <c r="BE557" s="31">
        <v>11</v>
      </c>
      <c r="BF557" s="30" t="s">
        <v>57</v>
      </c>
      <c r="BG557" s="31">
        <f>BE557*Q557</f>
        <v>8096</v>
      </c>
      <c r="BH557" s="31">
        <f>BE557*R557*0.4</f>
        <v>0</v>
      </c>
      <c r="BI557" s="31"/>
      <c r="BJ557" s="31"/>
      <c r="BK557" s="32">
        <f>Y557*BE557</f>
        <v>8096</v>
      </c>
      <c r="BL557" s="25">
        <v>816</v>
      </c>
      <c r="BM557" s="25">
        <v>816</v>
      </c>
      <c r="BN557" s="25">
        <v>816</v>
      </c>
      <c r="BO557" s="25">
        <v>816</v>
      </c>
      <c r="BP557" s="25">
        <f>BE557*AV557</f>
        <v>0</v>
      </c>
      <c r="BQ557" s="25">
        <f>BE557*AX557</f>
        <v>0</v>
      </c>
      <c r="BR557" s="26"/>
      <c r="BS557" s="32"/>
    </row>
    <row r="558" spans="1:71" s="6" customFormat="1" ht="41.25" customHeight="1">
      <c r="A558" s="18">
        <v>555</v>
      </c>
      <c r="B558" s="18" t="s">
        <v>58</v>
      </c>
      <c r="C558" s="33" t="s">
        <v>59</v>
      </c>
      <c r="D558" s="34" t="s">
        <v>60</v>
      </c>
      <c r="E558" s="20" t="s">
        <v>1140</v>
      </c>
      <c r="F558" s="34" t="s">
        <v>62</v>
      </c>
      <c r="G558" s="22"/>
      <c r="H558" s="22"/>
      <c r="I558" s="22"/>
      <c r="J558" s="22"/>
      <c r="K558" s="22"/>
      <c r="L558" s="20" t="s">
        <v>53</v>
      </c>
      <c r="M558" s="22"/>
      <c r="N558" s="22" t="s">
        <v>1141</v>
      </c>
      <c r="O558" s="23" t="s">
        <v>1142</v>
      </c>
      <c r="P558" s="18" t="s">
        <v>65</v>
      </c>
      <c r="Q558" s="72"/>
      <c r="R558" s="72"/>
      <c r="S558" s="35">
        <v>30</v>
      </c>
      <c r="T558" s="26"/>
      <c r="U558" s="26"/>
      <c r="V558" s="35">
        <v>30</v>
      </c>
      <c r="W558" s="154"/>
      <c r="X558" s="35">
        <v>30</v>
      </c>
      <c r="Y558" s="26">
        <f>T558+R558+Q558+U558+W558</f>
        <v>0</v>
      </c>
      <c r="Z558" s="27">
        <v>210</v>
      </c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>
        <f>SUM(AM558:AS558)</f>
        <v>0</v>
      </c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72">
        <f>Y558-AV558-AX558-AW558</f>
        <v>0</v>
      </c>
      <c r="AZ558" s="68"/>
      <c r="BA558" s="26">
        <f>AL558+AG558+AA558+AT558</f>
        <v>0</v>
      </c>
      <c r="BB558" s="30">
        <f>BD558+AO558+AG558</f>
        <v>0</v>
      </c>
      <c r="BC558" s="30">
        <f>BD558+AS558</f>
        <v>0</v>
      </c>
      <c r="BD558" s="30">
        <f>IF(BA558&gt;0,Y558-BA558,BA558)</f>
        <v>0</v>
      </c>
      <c r="BE558" s="31">
        <v>37</v>
      </c>
      <c r="BF558" s="30" t="s">
        <v>57</v>
      </c>
      <c r="BG558" s="31">
        <f>BE558*Q558</f>
        <v>0</v>
      </c>
      <c r="BH558" s="31">
        <f>BE558*R558*0.4</f>
        <v>0</v>
      </c>
      <c r="BI558" s="31"/>
      <c r="BJ558" s="31"/>
      <c r="BK558" s="32">
        <f>Y558*BE558</f>
        <v>0</v>
      </c>
      <c r="BL558" s="35">
        <v>30</v>
      </c>
      <c r="BM558" s="35">
        <v>30</v>
      </c>
      <c r="BN558" s="35">
        <v>30</v>
      </c>
      <c r="BO558" s="35">
        <v>30</v>
      </c>
      <c r="BP558" s="25">
        <f>BE558*AV558</f>
        <v>0</v>
      </c>
      <c r="BQ558" s="25">
        <f>BE558*AX558</f>
        <v>0</v>
      </c>
      <c r="BR558" s="26"/>
      <c r="BS558" s="32"/>
    </row>
    <row r="559" spans="1:71" s="6" customFormat="1" ht="41.25" customHeight="1">
      <c r="A559" s="18">
        <v>556</v>
      </c>
      <c r="B559" s="50" t="s">
        <v>94</v>
      </c>
      <c r="C559" s="44" t="s">
        <v>215</v>
      </c>
      <c r="D559" s="18" t="s">
        <v>96</v>
      </c>
      <c r="E559" s="55" t="s">
        <v>781</v>
      </c>
      <c r="F559" s="21" t="s">
        <v>52</v>
      </c>
      <c r="G559" s="21"/>
      <c r="H559" s="50"/>
      <c r="I559" s="50"/>
      <c r="J559" s="50"/>
      <c r="K559" s="50"/>
      <c r="L559" s="20" t="s">
        <v>53</v>
      </c>
      <c r="M559" s="22"/>
      <c r="N559" s="22" t="s">
        <v>1143</v>
      </c>
      <c r="O559" s="23" t="s">
        <v>1144</v>
      </c>
      <c r="P559" s="18" t="s">
        <v>56</v>
      </c>
      <c r="Q559" s="42"/>
      <c r="R559" s="26"/>
      <c r="S559" s="25"/>
      <c r="T559" s="26"/>
      <c r="U559" s="26"/>
      <c r="V559" s="25"/>
      <c r="W559" s="29">
        <v>500</v>
      </c>
      <c r="X559" s="25"/>
      <c r="Y559" s="53">
        <f>T559+R559+Q559+U559+W559</f>
        <v>500</v>
      </c>
      <c r="Z559" s="27">
        <v>200</v>
      </c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>
        <f>SUM(AM559:AS559)</f>
        <v>0</v>
      </c>
      <c r="AM559" s="26"/>
      <c r="AN559" s="26"/>
      <c r="AO559" s="26"/>
      <c r="AP559" s="26"/>
      <c r="AQ559" s="26"/>
      <c r="AR559" s="26"/>
      <c r="AS559" s="26"/>
      <c r="AT559" s="28"/>
      <c r="AU559" s="28"/>
      <c r="AV559" s="26"/>
      <c r="AW559" s="26"/>
      <c r="AX559" s="28"/>
      <c r="AY559" s="29">
        <f>Y559-AV559-AX559-AW559</f>
        <v>500</v>
      </c>
      <c r="AZ559" s="29">
        <f>'Layout for shadhous 1&amp;2'!I74</f>
        <v>0</v>
      </c>
      <c r="BA559" s="26">
        <f>AL559+AG559+AA559+AT559</f>
        <v>0</v>
      </c>
      <c r="BB559" s="30">
        <f>BD559+AO559+AG559</f>
        <v>0</v>
      </c>
      <c r="BC559" s="30">
        <f>BD559+AS559</f>
        <v>0</v>
      </c>
      <c r="BD559" s="30">
        <f>IF(BA559&gt;0,Y559-BA559,BA559)</f>
        <v>0</v>
      </c>
      <c r="BE559" s="31">
        <v>6</v>
      </c>
      <c r="BF559" s="30" t="s">
        <v>57</v>
      </c>
      <c r="BG559" s="31">
        <f>BE559*Q559</f>
        <v>0</v>
      </c>
      <c r="BH559" s="31">
        <f>BE559*R559*0.4</f>
        <v>0</v>
      </c>
      <c r="BI559" s="31"/>
      <c r="BJ559" s="31"/>
      <c r="BK559" s="32">
        <f>Y559*BE559</f>
        <v>3000</v>
      </c>
      <c r="BL559" s="25"/>
      <c r="BM559" s="25">
        <v>200</v>
      </c>
      <c r="BN559" s="25"/>
      <c r="BO559" s="25"/>
      <c r="BP559" s="25">
        <f>BE559*AV559</f>
        <v>0</v>
      </c>
      <c r="BQ559" s="25">
        <f>BE559*AX559</f>
        <v>0</v>
      </c>
      <c r="BR559" s="26"/>
      <c r="BS559" s="32"/>
    </row>
    <row r="560" spans="1:71" s="6" customFormat="1" ht="41.25" customHeight="1">
      <c r="A560" s="18">
        <v>557</v>
      </c>
      <c r="B560" s="18" t="s">
        <v>58</v>
      </c>
      <c r="C560" s="33" t="s">
        <v>59</v>
      </c>
      <c r="D560" s="34" t="s">
        <v>60</v>
      </c>
      <c r="E560" s="20" t="s">
        <v>1140</v>
      </c>
      <c r="F560" s="34" t="s">
        <v>62</v>
      </c>
      <c r="G560" s="22"/>
      <c r="H560" s="22"/>
      <c r="I560" s="22"/>
      <c r="J560" s="22"/>
      <c r="K560" s="22"/>
      <c r="L560" s="20" t="s">
        <v>53</v>
      </c>
      <c r="M560" s="22"/>
      <c r="N560" s="22" t="s">
        <v>1145</v>
      </c>
      <c r="O560" s="23"/>
      <c r="P560" s="18" t="s">
        <v>65</v>
      </c>
      <c r="Q560" s="72"/>
      <c r="R560" s="72"/>
      <c r="S560" s="35">
        <v>12</v>
      </c>
      <c r="T560" s="26"/>
      <c r="U560" s="26"/>
      <c r="V560" s="35">
        <v>12</v>
      </c>
      <c r="W560" s="154"/>
      <c r="X560" s="35">
        <v>12</v>
      </c>
      <c r="Y560" s="26">
        <f>T560+R560+Q560+U560+W560</f>
        <v>0</v>
      </c>
      <c r="Z560" s="27">
        <v>84</v>
      </c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>
        <f>SUM(AM560:AS560)</f>
        <v>0</v>
      </c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72">
        <f>Y560-AV560-AX560-AW560</f>
        <v>0</v>
      </c>
      <c r="AZ560" s="68"/>
      <c r="BA560" s="26">
        <f>AL560+AG560+AA560+AT560</f>
        <v>0</v>
      </c>
      <c r="BB560" s="30">
        <f>BD560+AO560+AG560</f>
        <v>0</v>
      </c>
      <c r="BC560" s="30">
        <f>BD560+AS560</f>
        <v>0</v>
      </c>
      <c r="BD560" s="30">
        <f>IF(BA560&gt;0,Y560-BA560,BA560)</f>
        <v>0</v>
      </c>
      <c r="BE560" s="31">
        <v>187</v>
      </c>
      <c r="BF560" s="30" t="s">
        <v>57</v>
      </c>
      <c r="BG560" s="31">
        <f>BE560*Q560</f>
        <v>0</v>
      </c>
      <c r="BH560" s="31">
        <f>BE560*R560*0.4</f>
        <v>0</v>
      </c>
      <c r="BI560" s="31"/>
      <c r="BJ560" s="31"/>
      <c r="BK560" s="32">
        <f>Y560*BE560</f>
        <v>0</v>
      </c>
      <c r="BL560" s="35">
        <v>12</v>
      </c>
      <c r="BM560" s="35">
        <v>12</v>
      </c>
      <c r="BN560" s="35">
        <v>12</v>
      </c>
      <c r="BO560" s="35">
        <v>12</v>
      </c>
      <c r="BP560" s="25">
        <f>BE560*AV560</f>
        <v>0</v>
      </c>
      <c r="BQ560" s="25">
        <f>BE560*AX560</f>
        <v>0</v>
      </c>
      <c r="BR560" s="28"/>
      <c r="BS560" s="32"/>
    </row>
    <row r="561" spans="1:71" s="6" customFormat="1" ht="41.25" customHeight="1">
      <c r="A561" s="18">
        <v>558</v>
      </c>
      <c r="B561" s="18" t="s">
        <v>94</v>
      </c>
      <c r="C561" s="66" t="s">
        <v>209</v>
      </c>
      <c r="D561" s="18" t="s">
        <v>96</v>
      </c>
      <c r="E561" s="20" t="s">
        <v>1118</v>
      </c>
      <c r="F561" s="66" t="s">
        <v>209</v>
      </c>
      <c r="G561" s="66"/>
      <c r="H561" s="50"/>
      <c r="I561" s="50"/>
      <c r="J561" s="50"/>
      <c r="K561" s="50"/>
      <c r="L561" s="20" t="s">
        <v>53</v>
      </c>
      <c r="M561" s="22"/>
      <c r="N561" s="22" t="s">
        <v>1146</v>
      </c>
      <c r="O561" s="23"/>
      <c r="P561" s="18" t="s">
        <v>56</v>
      </c>
      <c r="Q561" s="72"/>
      <c r="R561" s="72"/>
      <c r="S561" s="25"/>
      <c r="T561" s="26"/>
      <c r="U561" s="26"/>
      <c r="V561" s="25">
        <v>200</v>
      </c>
      <c r="W561" s="26"/>
      <c r="X561" s="25"/>
      <c r="Y561" s="26">
        <f>T561+R561+Q561+U561+W561</f>
        <v>0</v>
      </c>
      <c r="Z561" s="27">
        <v>200</v>
      </c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>
        <f>SUM(AM561:AS561)</f>
        <v>0</v>
      </c>
      <c r="AM561" s="26"/>
      <c r="AN561" s="26"/>
      <c r="AO561" s="26"/>
      <c r="AP561" s="26"/>
      <c r="AQ561" s="26"/>
      <c r="AR561" s="26"/>
      <c r="AS561" s="26"/>
      <c r="AT561" s="28"/>
      <c r="AU561" s="28"/>
      <c r="AV561" s="26"/>
      <c r="AW561" s="26"/>
      <c r="AX561" s="28"/>
      <c r="AY561" s="72">
        <f>Y561-AV561-AX561-AW561</f>
        <v>0</v>
      </c>
      <c r="AZ561" s="68"/>
      <c r="BA561" s="26">
        <f>AL561+AG561+AA561+AT561</f>
        <v>0</v>
      </c>
      <c r="BB561" s="30">
        <f>BD561+AO561+AG561</f>
        <v>0</v>
      </c>
      <c r="BC561" s="30">
        <f>BD561+AS561</f>
        <v>0</v>
      </c>
      <c r="BD561" s="30">
        <f>IF(BA561&gt;0,Y561-BA561,BA561)</f>
        <v>0</v>
      </c>
      <c r="BE561" s="31"/>
      <c r="BF561" s="30" t="s">
        <v>57</v>
      </c>
      <c r="BG561" s="31">
        <f>BE561*Q561</f>
        <v>0</v>
      </c>
      <c r="BH561" s="31">
        <f>BE561*R561*0.4</f>
        <v>0</v>
      </c>
      <c r="BI561" s="142"/>
      <c r="BJ561" s="142"/>
      <c r="BK561" s="32">
        <f>Y561*BE561</f>
        <v>0</v>
      </c>
      <c r="BL561" s="25"/>
      <c r="BM561" s="25"/>
      <c r="BN561" s="25"/>
      <c r="BO561" s="25"/>
      <c r="BP561" s="25">
        <f>BE561*AV561</f>
        <v>0</v>
      </c>
      <c r="BQ561" s="25">
        <f>BE561*AX561</f>
        <v>0</v>
      </c>
      <c r="BR561" s="28"/>
      <c r="BS561" s="32"/>
    </row>
    <row r="562" spans="1:71" s="6" customFormat="1" ht="41.25" customHeight="1">
      <c r="A562" s="18">
        <v>559</v>
      </c>
      <c r="B562" s="18" t="s">
        <v>94</v>
      </c>
      <c r="C562" s="66" t="s">
        <v>209</v>
      </c>
      <c r="D562" s="18" t="s">
        <v>96</v>
      </c>
      <c r="E562" s="20" t="s">
        <v>1118</v>
      </c>
      <c r="F562" s="66" t="s">
        <v>209</v>
      </c>
      <c r="G562" s="66"/>
      <c r="H562" s="50"/>
      <c r="I562" s="50"/>
      <c r="J562" s="50"/>
      <c r="K562" s="50"/>
      <c r="L562" s="20" t="s">
        <v>53</v>
      </c>
      <c r="M562" s="22"/>
      <c r="N562" s="22" t="s">
        <v>1147</v>
      </c>
      <c r="O562" s="23"/>
      <c r="P562" s="18" t="s">
        <v>56</v>
      </c>
      <c r="Q562" s="72"/>
      <c r="R562" s="72"/>
      <c r="S562" s="25"/>
      <c r="T562" s="26"/>
      <c r="U562" s="26"/>
      <c r="V562" s="25"/>
      <c r="W562" s="26"/>
      <c r="X562" s="25">
        <v>200</v>
      </c>
      <c r="Y562" s="26">
        <f>T562+R562+Q562+U562+W562</f>
        <v>0</v>
      </c>
      <c r="Z562" s="27">
        <v>200</v>
      </c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>
        <f>SUM(AM562:AS562)</f>
        <v>0</v>
      </c>
      <c r="AM562" s="26"/>
      <c r="AN562" s="26"/>
      <c r="AO562" s="26"/>
      <c r="AP562" s="26"/>
      <c r="AQ562" s="26"/>
      <c r="AR562" s="26"/>
      <c r="AS562" s="26"/>
      <c r="AT562" s="28"/>
      <c r="AU562" s="28"/>
      <c r="AV562" s="26"/>
      <c r="AW562" s="26"/>
      <c r="AX562" s="28"/>
      <c r="AY562" s="72">
        <f>Y562-AV562-AX562-AW562</f>
        <v>0</v>
      </c>
      <c r="AZ562" s="68"/>
      <c r="BA562" s="26">
        <f>AL562+AG562+AA562+AT562</f>
        <v>0</v>
      </c>
      <c r="BB562" s="30">
        <f>BD562+AO562+AG562</f>
        <v>0</v>
      </c>
      <c r="BC562" s="30">
        <f>BD562+AS562</f>
        <v>0</v>
      </c>
      <c r="BD562" s="30">
        <f>IF(BA562&gt;0,Y562-BA562,BA562)</f>
        <v>0</v>
      </c>
      <c r="BE562" s="31"/>
      <c r="BF562" s="30" t="s">
        <v>57</v>
      </c>
      <c r="BG562" s="31">
        <f>BE562*Q562</f>
        <v>0</v>
      </c>
      <c r="BH562" s="31">
        <f>BE562*R562*0.4</f>
        <v>0</v>
      </c>
      <c r="BI562" s="142"/>
      <c r="BJ562" s="142"/>
      <c r="BK562" s="32">
        <f>Y562*BE562</f>
        <v>0</v>
      </c>
      <c r="BL562" s="25"/>
      <c r="BM562" s="25"/>
      <c r="BN562" s="25"/>
      <c r="BO562" s="25"/>
      <c r="BP562" s="25">
        <f>BE562*AV562</f>
        <v>0</v>
      </c>
      <c r="BQ562" s="25">
        <f>BE562*AX562</f>
        <v>0</v>
      </c>
      <c r="BR562" s="28"/>
      <c r="BS562" s="32"/>
    </row>
    <row r="563" spans="1:71" s="6" customFormat="1" ht="41.25" customHeight="1">
      <c r="A563" s="18">
        <v>560</v>
      </c>
      <c r="B563" s="18" t="s">
        <v>94</v>
      </c>
      <c r="C563" s="18" t="s">
        <v>132</v>
      </c>
      <c r="D563" s="18" t="s">
        <v>96</v>
      </c>
      <c r="E563" s="20" t="s">
        <v>1148</v>
      </c>
      <c r="F563" s="52" t="s">
        <v>123</v>
      </c>
      <c r="G563" s="52"/>
      <c r="H563" s="22"/>
      <c r="I563" s="22"/>
      <c r="J563" s="22"/>
      <c r="K563" s="22"/>
      <c r="L563" s="20" t="s">
        <v>53</v>
      </c>
      <c r="M563" s="22"/>
      <c r="N563" s="22" t="s">
        <v>1149</v>
      </c>
      <c r="O563" s="23"/>
      <c r="P563" s="18" t="s">
        <v>56</v>
      </c>
      <c r="Q563" s="147"/>
      <c r="R563" s="72"/>
      <c r="S563" s="25">
        <v>60</v>
      </c>
      <c r="T563" s="26"/>
      <c r="U563" s="26"/>
      <c r="V563" s="25">
        <v>60</v>
      </c>
      <c r="W563" s="26"/>
      <c r="X563" s="25">
        <v>60</v>
      </c>
      <c r="Y563" s="26">
        <f>T563+R563+Q563+U563+W563</f>
        <v>0</v>
      </c>
      <c r="Z563" s="27">
        <v>420</v>
      </c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>
        <f>SUM(AM563:AS563)</f>
        <v>0</v>
      </c>
      <c r="AM563" s="26"/>
      <c r="AN563" s="26"/>
      <c r="AO563" s="26"/>
      <c r="AP563" s="26"/>
      <c r="AQ563" s="26"/>
      <c r="AR563" s="26"/>
      <c r="AS563" s="26"/>
      <c r="AT563" s="28"/>
      <c r="AU563" s="28"/>
      <c r="AV563" s="26"/>
      <c r="AW563" s="26"/>
      <c r="AX563" s="28"/>
      <c r="AY563" s="72">
        <f>Y563-AV563-AX563-AW563</f>
        <v>0</v>
      </c>
      <c r="AZ563" s="68"/>
      <c r="BA563" s="26">
        <f>AL563+AG563+AA563+AT563</f>
        <v>0</v>
      </c>
      <c r="BB563" s="30">
        <f>BD563+AO563+AG563</f>
        <v>0</v>
      </c>
      <c r="BC563" s="30">
        <f>BD563+AS563</f>
        <v>0</v>
      </c>
      <c r="BD563" s="30">
        <f>IF(BA563&gt;0,Y563-BA563,BA563)</f>
        <v>0</v>
      </c>
      <c r="BE563" s="31">
        <v>8</v>
      </c>
      <c r="BF563" s="30" t="s">
        <v>57</v>
      </c>
      <c r="BG563" s="31">
        <f>BE563*Q563</f>
        <v>0</v>
      </c>
      <c r="BH563" s="31">
        <f>BE563*R563*0.4</f>
        <v>0</v>
      </c>
      <c r="BI563" s="142"/>
      <c r="BJ563" s="142"/>
      <c r="BK563" s="32">
        <f>Y563*BE563</f>
        <v>0</v>
      </c>
      <c r="BL563" s="25">
        <v>60</v>
      </c>
      <c r="BM563" s="25">
        <v>60</v>
      </c>
      <c r="BN563" s="25">
        <v>60</v>
      </c>
      <c r="BO563" s="25">
        <v>60</v>
      </c>
      <c r="BP563" s="25">
        <f>BE563*AV563</f>
        <v>0</v>
      </c>
      <c r="BQ563" s="25">
        <f>BE563*AX563</f>
        <v>0</v>
      </c>
      <c r="BR563" s="26"/>
      <c r="BS563" s="32"/>
    </row>
    <row r="564" spans="1:71" s="6" customFormat="1" ht="41.25" customHeight="1">
      <c r="A564" s="18">
        <v>561</v>
      </c>
      <c r="B564" s="18" t="s">
        <v>58</v>
      </c>
      <c r="C564" s="33" t="s">
        <v>59</v>
      </c>
      <c r="D564" s="34" t="s">
        <v>60</v>
      </c>
      <c r="E564" s="20" t="s">
        <v>1150</v>
      </c>
      <c r="F564" s="34" t="s">
        <v>62</v>
      </c>
      <c r="G564" s="22"/>
      <c r="H564" s="22"/>
      <c r="I564" s="22"/>
      <c r="J564" s="22"/>
      <c r="K564" s="22"/>
      <c r="L564" s="20" t="s">
        <v>53</v>
      </c>
      <c r="M564" s="22"/>
      <c r="N564" s="22" t="s">
        <v>1151</v>
      </c>
      <c r="O564" s="23"/>
      <c r="P564" s="18" t="s">
        <v>65</v>
      </c>
      <c r="Q564" s="72"/>
      <c r="R564" s="72"/>
      <c r="S564" s="35">
        <v>12</v>
      </c>
      <c r="T564" s="26"/>
      <c r="U564" s="26"/>
      <c r="V564" s="35">
        <v>12</v>
      </c>
      <c r="W564" s="154"/>
      <c r="X564" s="35">
        <v>12</v>
      </c>
      <c r="Y564" s="26">
        <f>T564+R564+Q564+U564+W564</f>
        <v>0</v>
      </c>
      <c r="Z564" s="27">
        <v>84</v>
      </c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>
        <f>SUM(AM564:AS564)</f>
        <v>0</v>
      </c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72">
        <f>Y564-AV564-AX564-AW564</f>
        <v>0</v>
      </c>
      <c r="AZ564" s="68"/>
      <c r="BA564" s="26">
        <f>AL564+AG564+AA564+AT564</f>
        <v>0</v>
      </c>
      <c r="BB564" s="30">
        <f>BD564+AO564+AG564</f>
        <v>0</v>
      </c>
      <c r="BC564" s="30">
        <f>BD564+AS564</f>
        <v>0</v>
      </c>
      <c r="BD564" s="30">
        <f>IF(BA564&gt;0,Y564-BA564,BA564)</f>
        <v>0</v>
      </c>
      <c r="BE564" s="31">
        <v>94</v>
      </c>
      <c r="BF564" s="30" t="s">
        <v>57</v>
      </c>
      <c r="BG564" s="31">
        <f>BE564*Q564</f>
        <v>0</v>
      </c>
      <c r="BH564" s="31">
        <f>BE564*R564*0.4</f>
        <v>0</v>
      </c>
      <c r="BI564" s="31"/>
      <c r="BJ564" s="31"/>
      <c r="BK564" s="32">
        <f>Y564*BE564</f>
        <v>0</v>
      </c>
      <c r="BL564" s="35">
        <v>12</v>
      </c>
      <c r="BM564" s="35">
        <v>12</v>
      </c>
      <c r="BN564" s="35">
        <v>12</v>
      </c>
      <c r="BO564" s="35">
        <v>12</v>
      </c>
      <c r="BP564" s="25">
        <f>BE564*AV564</f>
        <v>0</v>
      </c>
      <c r="BQ564" s="25">
        <f>BE564*AX564</f>
        <v>0</v>
      </c>
      <c r="BR564" s="26"/>
      <c r="BS564" s="32"/>
    </row>
    <row r="565" spans="1:71" s="6" customFormat="1" ht="41.25" customHeight="1">
      <c r="A565" s="18">
        <v>562</v>
      </c>
      <c r="B565" s="50" t="s">
        <v>94</v>
      </c>
      <c r="C565" s="44" t="s">
        <v>209</v>
      </c>
      <c r="D565" s="18" t="s">
        <v>96</v>
      </c>
      <c r="E565" s="55" t="s">
        <v>1118</v>
      </c>
      <c r="F565" s="44" t="s">
        <v>209</v>
      </c>
      <c r="G565" s="34" t="s">
        <v>128</v>
      </c>
      <c r="H565" s="50"/>
      <c r="I565" s="50"/>
      <c r="J565" s="50"/>
      <c r="K565" s="50"/>
      <c r="L565" s="20" t="s">
        <v>53</v>
      </c>
      <c r="M565" s="22"/>
      <c r="N565" s="22" t="s">
        <v>1152</v>
      </c>
      <c r="O565" s="23" t="s">
        <v>1153</v>
      </c>
      <c r="P565" s="18" t="s">
        <v>56</v>
      </c>
      <c r="Q565" s="72"/>
      <c r="R565" s="72"/>
      <c r="S565" s="25"/>
      <c r="T565" s="26"/>
      <c r="U565" s="26"/>
      <c r="V565" s="25"/>
      <c r="W565" s="29">
        <v>500</v>
      </c>
      <c r="X565" s="25"/>
      <c r="Y565" s="53">
        <f>T565+R565+Q565+U565+W565</f>
        <v>500</v>
      </c>
      <c r="Z565" s="27">
        <v>200</v>
      </c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>
        <f>SUM(AM565:AS565)</f>
        <v>0</v>
      </c>
      <c r="AM565" s="26"/>
      <c r="AN565" s="26"/>
      <c r="AO565" s="26"/>
      <c r="AP565" s="26"/>
      <c r="AQ565" s="26"/>
      <c r="AR565" s="26"/>
      <c r="AS565" s="26"/>
      <c r="AT565" s="28"/>
      <c r="AU565" s="28"/>
      <c r="AV565" s="26"/>
      <c r="AW565" s="26"/>
      <c r="AX565" s="28"/>
      <c r="AY565" s="29">
        <f>Y565-AV565-AX565-AW565</f>
        <v>500</v>
      </c>
      <c r="AZ565" s="29">
        <f ca="1">'Layout for shadhous 1&amp;2'!L53</f>
        <v>500</v>
      </c>
      <c r="BA565" s="26">
        <f>AL565+AG565+AA565+AT565</f>
        <v>0</v>
      </c>
      <c r="BB565" s="30">
        <f>BD565+AO565+AG565</f>
        <v>0</v>
      </c>
      <c r="BC565" s="30">
        <f>BD565+AS565</f>
        <v>0</v>
      </c>
      <c r="BD565" s="30">
        <f>IF(BA565&gt;0,Y565-BA565,BA565)</f>
        <v>0</v>
      </c>
      <c r="BE565" s="31">
        <v>5</v>
      </c>
      <c r="BF565" s="30" t="s">
        <v>57</v>
      </c>
      <c r="BG565" s="31">
        <f>BE565*Q565</f>
        <v>0</v>
      </c>
      <c r="BH565" s="31">
        <f>BE565*R565*0.4</f>
        <v>0</v>
      </c>
      <c r="BI565" s="142"/>
      <c r="BJ565" s="142"/>
      <c r="BK565" s="32">
        <f>Y565*BE565</f>
        <v>2500</v>
      </c>
      <c r="BL565" s="25">
        <v>200</v>
      </c>
      <c r="BM565" s="25"/>
      <c r="BN565" s="25"/>
      <c r="BO565" s="25"/>
      <c r="BP565" s="25">
        <f>BE565*AV565</f>
        <v>0</v>
      </c>
      <c r="BQ565" s="25">
        <f>BE565*AX565</f>
        <v>0</v>
      </c>
      <c r="BR565" s="28"/>
      <c r="BS565" s="32"/>
    </row>
    <row r="566" spans="1:71" s="6" customFormat="1" ht="41.25" customHeight="1">
      <c r="A566" s="18">
        <v>563</v>
      </c>
      <c r="B566" s="18" t="s">
        <v>94</v>
      </c>
      <c r="C566" s="18" t="s">
        <v>121</v>
      </c>
      <c r="D566" s="18" t="s">
        <v>96</v>
      </c>
      <c r="E566" s="22" t="s">
        <v>1154</v>
      </c>
      <c r="F566" s="52" t="s">
        <v>123</v>
      </c>
      <c r="G566" s="52"/>
      <c r="H566" s="22"/>
      <c r="I566" s="22"/>
      <c r="J566" s="22"/>
      <c r="K566" s="22"/>
      <c r="L566" s="22"/>
      <c r="M566" s="22"/>
      <c r="N566" s="22" t="s">
        <v>1155</v>
      </c>
      <c r="O566" s="23"/>
      <c r="P566" s="18" t="s">
        <v>56</v>
      </c>
      <c r="Q566" s="72"/>
      <c r="R566" s="72"/>
      <c r="S566" s="25">
        <v>40</v>
      </c>
      <c r="T566" s="26"/>
      <c r="U566" s="26"/>
      <c r="V566" s="25">
        <v>40</v>
      </c>
      <c r="W566" s="26"/>
      <c r="X566" s="25">
        <v>40</v>
      </c>
      <c r="Y566" s="26">
        <f>T566+R566+Q566+U566+W566</f>
        <v>0</v>
      </c>
      <c r="Z566" s="27">
        <v>280</v>
      </c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>
        <f>SUM(AM566:AS566)</f>
        <v>0</v>
      </c>
      <c r="AM566" s="26"/>
      <c r="AN566" s="26"/>
      <c r="AO566" s="26"/>
      <c r="AP566" s="26"/>
      <c r="AQ566" s="26"/>
      <c r="AR566" s="26"/>
      <c r="AS566" s="26"/>
      <c r="AT566" s="28"/>
      <c r="AU566" s="28"/>
      <c r="AV566" s="26"/>
      <c r="AW566" s="26"/>
      <c r="AX566" s="28"/>
      <c r="AY566" s="72">
        <f>Y566-AV566-AX566-AW566</f>
        <v>0</v>
      </c>
      <c r="AZ566" s="68"/>
      <c r="BA566" s="26">
        <f>AL566+AG566+AA566+AT566</f>
        <v>0</v>
      </c>
      <c r="BB566" s="30">
        <f>BD566+AO566+AG566</f>
        <v>0</v>
      </c>
      <c r="BC566" s="30">
        <f>BD566+AS566</f>
        <v>0</v>
      </c>
      <c r="BD566" s="30">
        <f>IF(BA566&gt;0,Y566-BA566,BA566)</f>
        <v>0</v>
      </c>
      <c r="BE566" s="31">
        <v>5</v>
      </c>
      <c r="BF566" s="30" t="s">
        <v>57</v>
      </c>
      <c r="BG566" s="31">
        <f>BE566*Q566</f>
        <v>0</v>
      </c>
      <c r="BH566" s="31">
        <f>BE566*R566*0.4</f>
        <v>0</v>
      </c>
      <c r="BI566" s="31"/>
      <c r="BJ566" s="31"/>
      <c r="BK566" s="32">
        <f>Y566*BE566</f>
        <v>0</v>
      </c>
      <c r="BL566" s="25">
        <v>40</v>
      </c>
      <c r="BM566" s="25">
        <v>40</v>
      </c>
      <c r="BN566" s="25">
        <v>40</v>
      </c>
      <c r="BO566" s="25">
        <v>40</v>
      </c>
      <c r="BP566" s="25">
        <f>BE566*AV566</f>
        <v>0</v>
      </c>
      <c r="BQ566" s="25">
        <f>BE566*AX566</f>
        <v>0</v>
      </c>
      <c r="BR566" s="28"/>
      <c r="BS566" s="32"/>
    </row>
    <row r="567" spans="1:71" s="6" customFormat="1" ht="41.25" customHeight="1">
      <c r="A567" s="18">
        <v>564</v>
      </c>
      <c r="B567" s="18" t="s">
        <v>87</v>
      </c>
      <c r="C567" s="18" t="s">
        <v>88</v>
      </c>
      <c r="D567" s="47" t="s">
        <v>89</v>
      </c>
      <c r="E567" s="22" t="s">
        <v>1170</v>
      </c>
      <c r="F567" s="36" t="s">
        <v>70</v>
      </c>
      <c r="G567" s="36" t="s">
        <v>70</v>
      </c>
      <c r="H567" s="22"/>
      <c r="I567" s="37" t="s">
        <v>855</v>
      </c>
      <c r="J567" s="37"/>
      <c r="K567" s="37"/>
      <c r="L567" s="22"/>
      <c r="M567" s="22"/>
      <c r="N567" s="22" t="s">
        <v>1171</v>
      </c>
      <c r="O567" s="23" t="s">
        <v>1168</v>
      </c>
      <c r="P567" s="18" t="s">
        <v>56</v>
      </c>
      <c r="Q567" s="72"/>
      <c r="R567" s="72"/>
      <c r="S567" s="25">
        <v>10</v>
      </c>
      <c r="T567" s="26"/>
      <c r="U567" s="26"/>
      <c r="V567" s="25"/>
      <c r="W567" s="26"/>
      <c r="X567" s="25"/>
      <c r="Y567" s="26">
        <f>T567+R567+Q567+U567+W567</f>
        <v>0</v>
      </c>
      <c r="Z567" s="27">
        <v>10</v>
      </c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>
        <f>SUM(AM567:AS567)</f>
        <v>0</v>
      </c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72">
        <f>Y567-AV567-AX567-AW567</f>
        <v>0</v>
      </c>
      <c r="AZ567" s="68"/>
      <c r="BA567" s="26">
        <f>AL567+AG567+AA567+AT567</f>
        <v>0</v>
      </c>
      <c r="BB567" s="30">
        <f>BD567+AO567+AG567</f>
        <v>0</v>
      </c>
      <c r="BC567" s="30">
        <f>BD567+AS567</f>
        <v>0</v>
      </c>
      <c r="BD567" s="30">
        <f>IF(BA567&gt;0,Y567-BA567,BA567)</f>
        <v>0</v>
      </c>
      <c r="BE567" s="31">
        <v>690</v>
      </c>
      <c r="BF567" s="30" t="s">
        <v>57</v>
      </c>
      <c r="BG567" s="31">
        <f>BE567*Q567</f>
        <v>0</v>
      </c>
      <c r="BH567" s="31">
        <f>BE567*R567*0.4</f>
        <v>0</v>
      </c>
      <c r="BI567" s="31"/>
      <c r="BJ567" s="31"/>
      <c r="BK567" s="32">
        <f>Y567*BE567</f>
        <v>0</v>
      </c>
      <c r="BL567" s="25"/>
      <c r="BM567" s="25"/>
      <c r="BN567" s="25"/>
      <c r="BO567" s="25"/>
      <c r="BP567" s="25">
        <f>BE567*AV567</f>
        <v>0</v>
      </c>
      <c r="BQ567" s="25">
        <f>BE567*AX567</f>
        <v>0</v>
      </c>
      <c r="BR567" s="28"/>
      <c r="BS567" s="32"/>
    </row>
    <row r="568" spans="1:71" s="6" customFormat="1" ht="41.25" customHeight="1">
      <c r="A568" s="18">
        <v>565</v>
      </c>
      <c r="B568" s="50" t="s">
        <v>94</v>
      </c>
      <c r="C568" s="44" t="s">
        <v>158</v>
      </c>
      <c r="D568" s="18" t="s">
        <v>96</v>
      </c>
      <c r="E568" s="50" t="s">
        <v>648</v>
      </c>
      <c r="F568" s="52" t="s">
        <v>123</v>
      </c>
      <c r="G568" s="52"/>
      <c r="H568" s="50"/>
      <c r="I568" s="50"/>
      <c r="J568" s="50"/>
      <c r="K568" s="50"/>
      <c r="L568" s="50"/>
      <c r="M568" s="22"/>
      <c r="N568" s="22" t="s">
        <v>1172</v>
      </c>
      <c r="O568" s="18"/>
      <c r="P568" s="18" t="s">
        <v>56</v>
      </c>
      <c r="Q568" s="72"/>
      <c r="R568" s="72"/>
      <c r="S568" s="25"/>
      <c r="T568" s="26"/>
      <c r="U568" s="26"/>
      <c r="V568" s="25">
        <v>200</v>
      </c>
      <c r="W568" s="26"/>
      <c r="X568" s="25"/>
      <c r="Y568" s="26">
        <f>T568+R568+Q568+U568+W568</f>
        <v>0</v>
      </c>
      <c r="Z568" s="27">
        <v>200</v>
      </c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>
        <f>SUM(AM568:AS568)</f>
        <v>0</v>
      </c>
      <c r="AM568" s="41"/>
      <c r="AN568" s="49">
        <v>0</v>
      </c>
      <c r="AO568" s="49"/>
      <c r="AP568" s="49"/>
      <c r="AQ568" s="49"/>
      <c r="AR568" s="49"/>
      <c r="AS568" s="49"/>
      <c r="AT568" s="43"/>
      <c r="AU568" s="43"/>
      <c r="AV568" s="26"/>
      <c r="AW568" s="26"/>
      <c r="AX568" s="43"/>
      <c r="AY568" s="72">
        <f>Y568-AV568-AX568-AW568</f>
        <v>0</v>
      </c>
      <c r="AZ568" s="68"/>
      <c r="BA568" s="26">
        <f>AL568+AG568+AA568+AT568</f>
        <v>0</v>
      </c>
      <c r="BB568" s="30">
        <f>BD568+AO568+AG568</f>
        <v>0</v>
      </c>
      <c r="BC568" s="30">
        <f>BD568+AS568</f>
        <v>0</v>
      </c>
      <c r="BD568" s="30">
        <f>IF(BA568&gt;0,Y568-BA568,BA568)</f>
        <v>0</v>
      </c>
      <c r="BE568" s="31"/>
      <c r="BF568" s="30" t="s">
        <v>57</v>
      </c>
      <c r="BG568" s="31">
        <f>BE568*Q568</f>
        <v>0</v>
      </c>
      <c r="BH568" s="31">
        <f>BE568*R568*0.4</f>
        <v>0</v>
      </c>
      <c r="BI568" s="31"/>
      <c r="BJ568" s="31"/>
      <c r="BK568" s="32">
        <f>Y568*BE568</f>
        <v>0</v>
      </c>
      <c r="BL568" s="25"/>
      <c r="BM568" s="25"/>
      <c r="BN568" s="25"/>
      <c r="BO568" s="25"/>
      <c r="BP568" s="25">
        <f>BE568*AV568</f>
        <v>0</v>
      </c>
      <c r="BQ568" s="25">
        <f>BE568*AX568</f>
        <v>0</v>
      </c>
      <c r="BR568" s="28"/>
      <c r="BS568" s="32"/>
    </row>
    <row r="569" spans="1:71" s="6" customFormat="1" ht="41.25" customHeight="1">
      <c r="A569" s="18">
        <v>566</v>
      </c>
      <c r="B569" s="74" t="s">
        <v>94</v>
      </c>
      <c r="C569" s="44" t="s">
        <v>158</v>
      </c>
      <c r="D569" s="18" t="s">
        <v>96</v>
      </c>
      <c r="E569" s="55" t="s">
        <v>648</v>
      </c>
      <c r="F569" s="52" t="s">
        <v>123</v>
      </c>
      <c r="G569" s="52" t="s">
        <v>123</v>
      </c>
      <c r="H569" s="50"/>
      <c r="I569" s="50"/>
      <c r="J569" s="50"/>
      <c r="K569" s="50"/>
      <c r="L569" s="20" t="s">
        <v>53</v>
      </c>
      <c r="M569" s="22"/>
      <c r="N569" s="76" t="s">
        <v>1173</v>
      </c>
      <c r="O569" s="23"/>
      <c r="P569" s="18" t="s">
        <v>56</v>
      </c>
      <c r="Q569" s="81"/>
      <c r="R569" s="81"/>
      <c r="S569" s="25"/>
      <c r="T569" s="26"/>
      <c r="U569" s="26"/>
      <c r="V569" s="25"/>
      <c r="W569" s="29">
        <v>75</v>
      </c>
      <c r="X569" s="25">
        <v>200</v>
      </c>
      <c r="Y569" s="53">
        <f>T569+R569+Q569+U569+W569</f>
        <v>75</v>
      </c>
      <c r="Z569" s="27">
        <v>200</v>
      </c>
      <c r="AA569" s="26"/>
      <c r="AB569" s="26"/>
      <c r="AC569" s="26"/>
      <c r="AD569" s="26"/>
      <c r="AE569" s="26"/>
      <c r="AF569" s="26"/>
      <c r="AG569" s="26"/>
      <c r="AH569" s="89"/>
      <c r="AI569" s="89"/>
      <c r="AJ569" s="89"/>
      <c r="AK569" s="89"/>
      <c r="AL569" s="26">
        <f>SUM(AM569:AS569)</f>
        <v>0</v>
      </c>
      <c r="AM569" s="89"/>
      <c r="AN569" s="89"/>
      <c r="AO569" s="89"/>
      <c r="AP569" s="89"/>
      <c r="AQ569" s="89"/>
      <c r="AR569" s="89"/>
      <c r="AS569" s="89"/>
      <c r="AT569" s="197"/>
      <c r="AU569" s="197"/>
      <c r="AV569" s="26"/>
      <c r="AW569" s="26"/>
      <c r="AX569" s="197"/>
      <c r="AY569" s="29">
        <f>Y569-AV569-AX569-AW569</f>
        <v>75</v>
      </c>
      <c r="AZ569" s="29">
        <f ca="1">'Layout for shadhous 1&amp;2'!L62</f>
        <v>30</v>
      </c>
      <c r="BA569" s="26">
        <f>AL569+AG569+AA569+AT569</f>
        <v>0</v>
      </c>
      <c r="BB569" s="30">
        <f>BD569+AO569+AG569</f>
        <v>0</v>
      </c>
      <c r="BC569" s="30">
        <f>BD569+AS569</f>
        <v>0</v>
      </c>
      <c r="BD569" s="30">
        <f>IF(BA569&gt;0,Y569-BA569,BA569)</f>
        <v>0</v>
      </c>
      <c r="BE569" s="31">
        <v>8</v>
      </c>
      <c r="BF569" s="30" t="s">
        <v>57</v>
      </c>
      <c r="BG569" s="31">
        <f>BE569*Q569</f>
        <v>0</v>
      </c>
      <c r="BH569" s="31">
        <f>BE569*R569*0.4</f>
        <v>0</v>
      </c>
      <c r="BI569" s="31"/>
      <c r="BJ569" s="31"/>
      <c r="BK569" s="32">
        <f>Y569*BE569</f>
        <v>600</v>
      </c>
      <c r="BL569" s="25"/>
      <c r="BM569" s="25"/>
      <c r="BN569" s="25"/>
      <c r="BO569" s="25"/>
      <c r="BP569" s="25">
        <f>BE569*AV569</f>
        <v>0</v>
      </c>
      <c r="BQ569" s="25">
        <f>BE569*AX569</f>
        <v>0</v>
      </c>
      <c r="BR569" s="197"/>
      <c r="BS569" s="32"/>
    </row>
    <row r="570" spans="1:71" s="6" customFormat="1" ht="41.25" customHeight="1">
      <c r="A570" s="18">
        <v>567</v>
      </c>
      <c r="B570" s="18" t="s">
        <v>94</v>
      </c>
      <c r="C570" s="18" t="s">
        <v>209</v>
      </c>
      <c r="D570" s="18" t="s">
        <v>96</v>
      </c>
      <c r="E570" s="20" t="s">
        <v>1118</v>
      </c>
      <c r="F570" s="18" t="s">
        <v>209</v>
      </c>
      <c r="G570" s="18"/>
      <c r="H570" s="22"/>
      <c r="I570" s="22"/>
      <c r="J570" s="22"/>
      <c r="K570" s="22"/>
      <c r="L570" s="20" t="s">
        <v>53</v>
      </c>
      <c r="M570" s="22"/>
      <c r="N570" s="76" t="s">
        <v>1174</v>
      </c>
      <c r="O570" s="23"/>
      <c r="P570" s="18" t="s">
        <v>56</v>
      </c>
      <c r="Q570" s="81"/>
      <c r="R570" s="81"/>
      <c r="S570" s="25"/>
      <c r="T570" s="26"/>
      <c r="U570" s="26"/>
      <c r="V570" s="25"/>
      <c r="W570" s="26"/>
      <c r="X570" s="25"/>
      <c r="Y570" s="53">
        <f>T570+R570+Q570+U570+W570</f>
        <v>0</v>
      </c>
      <c r="Z570" s="27">
        <v>200</v>
      </c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>
        <f>SUM(AM570:AS570)</f>
        <v>0</v>
      </c>
      <c r="AM570" s="26"/>
      <c r="AN570" s="26"/>
      <c r="AO570" s="26"/>
      <c r="AP570" s="26"/>
      <c r="AQ570" s="26"/>
      <c r="AR570" s="26"/>
      <c r="AS570" s="26"/>
      <c r="AT570" s="28"/>
      <c r="AU570" s="28"/>
      <c r="AV570" s="26"/>
      <c r="AW570" s="26"/>
      <c r="AX570" s="28"/>
      <c r="AY570" s="72">
        <f>Y570-AV570-AX570-AW570</f>
        <v>0</v>
      </c>
      <c r="AZ570" s="68"/>
      <c r="BA570" s="26">
        <f>AL570+AG570+AA570+AT570</f>
        <v>0</v>
      </c>
      <c r="BB570" s="30">
        <f>BD570+AO570+AG570</f>
        <v>0</v>
      </c>
      <c r="BC570" s="30">
        <f>BD570+AS570</f>
        <v>0</v>
      </c>
      <c r="BD570" s="30">
        <f>IF(BA570&gt;0,Y570-BA570,BA570)</f>
        <v>0</v>
      </c>
      <c r="BE570" s="31">
        <v>6</v>
      </c>
      <c r="BF570" s="30" t="s">
        <v>57</v>
      </c>
      <c r="BG570" s="31">
        <f>BE570*Q570</f>
        <v>0</v>
      </c>
      <c r="BH570" s="31">
        <f>BE570*R570*0.4</f>
        <v>0</v>
      </c>
      <c r="BI570" s="142"/>
      <c r="BJ570" s="142"/>
      <c r="BK570" s="32">
        <f>Y570*BE570</f>
        <v>0</v>
      </c>
      <c r="BL570" s="25"/>
      <c r="BM570" s="25">
        <v>200</v>
      </c>
      <c r="BN570" s="25"/>
      <c r="BO570" s="25"/>
      <c r="BP570" s="25">
        <f>BE570*AV570</f>
        <v>0</v>
      </c>
      <c r="BQ570" s="25">
        <f>BE570*AX570</f>
        <v>0</v>
      </c>
      <c r="BR570" s="28"/>
      <c r="BS570" s="32"/>
    </row>
    <row r="571" spans="1:71" s="6" customFormat="1" ht="41.25" customHeight="1">
      <c r="A571" s="18">
        <v>568</v>
      </c>
      <c r="B571" s="18" t="s">
        <v>94</v>
      </c>
      <c r="C571" s="18" t="s">
        <v>121</v>
      </c>
      <c r="D571" s="18" t="s">
        <v>96</v>
      </c>
      <c r="E571" s="22" t="s">
        <v>1154</v>
      </c>
      <c r="F571" s="52" t="s">
        <v>123</v>
      </c>
      <c r="G571" s="52"/>
      <c r="H571" s="22"/>
      <c r="I571" s="22"/>
      <c r="J571" s="22"/>
      <c r="K571" s="22"/>
      <c r="L571" s="22"/>
      <c r="M571" s="22"/>
      <c r="N571" s="22" t="s">
        <v>1175</v>
      </c>
      <c r="O571" s="23"/>
      <c r="P571" s="38" t="s">
        <v>56</v>
      </c>
      <c r="Q571" s="29">
        <v>40</v>
      </c>
      <c r="R571" s="81"/>
      <c r="S571" s="40">
        <v>40</v>
      </c>
      <c r="T571" s="26"/>
      <c r="U571" s="26"/>
      <c r="V571" s="25">
        <v>40</v>
      </c>
      <c r="W571" s="26"/>
      <c r="X571" s="25">
        <v>40</v>
      </c>
      <c r="Y571" s="53">
        <f>T571+R571+Q571+U571+W571</f>
        <v>40</v>
      </c>
      <c r="Z571" s="27">
        <v>280</v>
      </c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>
        <f>SUM(AM571:AS571)</f>
        <v>0</v>
      </c>
      <c r="AM571" s="26"/>
      <c r="AN571" s="26"/>
      <c r="AO571" s="26"/>
      <c r="AP571" s="26"/>
      <c r="AQ571" s="26"/>
      <c r="AR571" s="26"/>
      <c r="AS571" s="26"/>
      <c r="AT571" s="28"/>
      <c r="AU571" s="28"/>
      <c r="AV571" s="26"/>
      <c r="AW571" s="26"/>
      <c r="AX571" s="28"/>
      <c r="AY571" s="29">
        <f>Y571-AV571-AX571-AW571</f>
        <v>40</v>
      </c>
      <c r="AZ571" s="29">
        <f>'Layout for trees right'!M26</f>
        <v>36</v>
      </c>
      <c r="BA571" s="26">
        <f>AL571+AG571+AA571+AT571</f>
        <v>0</v>
      </c>
      <c r="BB571" s="30">
        <f>BD571+AO571+AG571</f>
        <v>0</v>
      </c>
      <c r="BC571" s="30">
        <f>BD571+AS571</f>
        <v>0</v>
      </c>
      <c r="BD571" s="30">
        <f>IF(BA571&gt;0,Y571-BA571,BA571)</f>
        <v>0</v>
      </c>
      <c r="BE571" s="31">
        <v>5</v>
      </c>
      <c r="BF571" s="30" t="s">
        <v>57</v>
      </c>
      <c r="BG571" s="31">
        <f>BE571*Q571</f>
        <v>200</v>
      </c>
      <c r="BH571" s="31">
        <f>BE571*R571*0.4</f>
        <v>0</v>
      </c>
      <c r="BI571" s="142"/>
      <c r="BJ571" s="142"/>
      <c r="BK571" s="32">
        <f>Y571*BE571</f>
        <v>200</v>
      </c>
      <c r="BL571" s="25">
        <v>40</v>
      </c>
      <c r="BM571" s="25">
        <v>40</v>
      </c>
      <c r="BN571" s="25">
        <v>40</v>
      </c>
      <c r="BO571" s="25">
        <v>40</v>
      </c>
      <c r="BP571" s="25">
        <f>BE571*AV571</f>
        <v>0</v>
      </c>
      <c r="BQ571" s="25">
        <f>BE571*AX571</f>
        <v>0</v>
      </c>
      <c r="BR571" s="26"/>
      <c r="BS571" s="32"/>
    </row>
    <row r="572" spans="1:71" s="6" customFormat="1" ht="41.25" customHeight="1">
      <c r="A572" s="18">
        <v>569</v>
      </c>
      <c r="B572" s="18" t="s">
        <v>94</v>
      </c>
      <c r="C572" s="18" t="s">
        <v>177</v>
      </c>
      <c r="D572" s="18" t="s">
        <v>96</v>
      </c>
      <c r="E572" s="22" t="s">
        <v>970</v>
      </c>
      <c r="F572" s="52" t="s">
        <v>123</v>
      </c>
      <c r="G572" s="52"/>
      <c r="H572" s="22"/>
      <c r="I572" s="22"/>
      <c r="J572" s="22"/>
      <c r="K572" s="22"/>
      <c r="L572" s="22"/>
      <c r="M572" s="22"/>
      <c r="N572" s="22" t="s">
        <v>1176</v>
      </c>
      <c r="O572" s="23"/>
      <c r="P572" s="18" t="s">
        <v>56</v>
      </c>
      <c r="Q572" s="29">
        <v>20</v>
      </c>
      <c r="R572" s="81"/>
      <c r="S572" s="25">
        <v>20</v>
      </c>
      <c r="T572" s="29">
        <v>12</v>
      </c>
      <c r="U572" s="26"/>
      <c r="V572" s="25">
        <v>20</v>
      </c>
      <c r="W572" s="26"/>
      <c r="X572" s="25">
        <v>20</v>
      </c>
      <c r="Y572" s="53">
        <f>T572+R572+Q572+U572+W572</f>
        <v>32</v>
      </c>
      <c r="Z572" s="27">
        <v>140</v>
      </c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>
        <f>SUM(AM572:AS572)</f>
        <v>0</v>
      </c>
      <c r="AM572" s="26"/>
      <c r="AN572" s="26"/>
      <c r="AO572" s="26"/>
      <c r="AP572" s="26"/>
      <c r="AQ572" s="26"/>
      <c r="AR572" s="26"/>
      <c r="AS572" s="26"/>
      <c r="AT572" s="28"/>
      <c r="AU572" s="28"/>
      <c r="AV572" s="26"/>
      <c r="AW572" s="26"/>
      <c r="AX572" s="28"/>
      <c r="AY572" s="29">
        <f>Y572-AV572-AX572-AW572</f>
        <v>32</v>
      </c>
      <c r="AZ572" s="29">
        <f>'Layout for shadhous 3'!Q50</f>
        <v>32</v>
      </c>
      <c r="BA572" s="26">
        <f>AL572+AG572+AA572+AT572</f>
        <v>0</v>
      </c>
      <c r="BB572" s="30">
        <f>BD572+AO572+AG572</f>
        <v>0</v>
      </c>
      <c r="BC572" s="30">
        <f>BD572+AS572</f>
        <v>0</v>
      </c>
      <c r="BD572" s="30">
        <f>IF(BA572&gt;0,Y572-BA572,BA572)</f>
        <v>0</v>
      </c>
      <c r="BE572" s="31">
        <v>8</v>
      </c>
      <c r="BF572" s="30" t="s">
        <v>57</v>
      </c>
      <c r="BG572" s="31">
        <f>BE572*Q572</f>
        <v>160</v>
      </c>
      <c r="BH572" s="31">
        <f>BE572*R572*0.4</f>
        <v>0</v>
      </c>
      <c r="BI572" s="142"/>
      <c r="BJ572" s="142"/>
      <c r="BK572" s="32">
        <f>Y572*BE572</f>
        <v>256</v>
      </c>
      <c r="BL572" s="25">
        <v>20</v>
      </c>
      <c r="BM572" s="25">
        <v>20</v>
      </c>
      <c r="BN572" s="25">
        <v>20</v>
      </c>
      <c r="BO572" s="25">
        <v>20</v>
      </c>
      <c r="BP572" s="25">
        <f>BE572*AV572</f>
        <v>0</v>
      </c>
      <c r="BQ572" s="25">
        <f>BE572*AX572</f>
        <v>0</v>
      </c>
      <c r="BR572" s="26"/>
      <c r="BS572" s="32"/>
    </row>
    <row r="573" spans="1:71" s="6" customFormat="1" ht="41.25" customHeight="1">
      <c r="A573" s="18">
        <v>570</v>
      </c>
      <c r="B573" s="18" t="s">
        <v>94</v>
      </c>
      <c r="C573" s="18" t="s">
        <v>209</v>
      </c>
      <c r="D573" s="18" t="s">
        <v>96</v>
      </c>
      <c r="E573" s="20" t="s">
        <v>1118</v>
      </c>
      <c r="F573" s="18" t="s">
        <v>209</v>
      </c>
      <c r="G573" s="18"/>
      <c r="H573" s="22"/>
      <c r="I573" s="22"/>
      <c r="J573" s="22"/>
      <c r="K573" s="22"/>
      <c r="L573" s="20" t="s">
        <v>53</v>
      </c>
      <c r="M573" s="22"/>
      <c r="N573" s="22" t="s">
        <v>1189</v>
      </c>
      <c r="O573" s="23"/>
      <c r="P573" s="18" t="s">
        <v>56</v>
      </c>
      <c r="Q573" s="72"/>
      <c r="R573" s="81"/>
      <c r="S573" s="25"/>
      <c r="T573" s="26"/>
      <c r="U573" s="26"/>
      <c r="V573" s="25"/>
      <c r="W573" s="26"/>
      <c r="X573" s="25"/>
      <c r="Y573" s="26">
        <f>T573+R573+Q573+U573+W573</f>
        <v>0</v>
      </c>
      <c r="Z573" s="27">
        <v>200</v>
      </c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>
        <f>SUM(AM573:AS573)</f>
        <v>0</v>
      </c>
      <c r="AM573" s="26"/>
      <c r="AN573" s="26"/>
      <c r="AO573" s="26"/>
      <c r="AP573" s="26"/>
      <c r="AQ573" s="26"/>
      <c r="AR573" s="26"/>
      <c r="AS573" s="26"/>
      <c r="AT573" s="28"/>
      <c r="AU573" s="28"/>
      <c r="AV573" s="26"/>
      <c r="AW573" s="26"/>
      <c r="AX573" s="28"/>
      <c r="AY573" s="72">
        <f>Y573-AV573-AX573-AW573</f>
        <v>0</v>
      </c>
      <c r="AZ573" s="68"/>
      <c r="BA573" s="26">
        <f>AL573+AG573+AA573+AT573</f>
        <v>0</v>
      </c>
      <c r="BB573" s="30">
        <f>BD573+AO573+AG573</f>
        <v>0</v>
      </c>
      <c r="BC573" s="30">
        <f>BD573+AS573</f>
        <v>0</v>
      </c>
      <c r="BD573" s="30">
        <f>IF(BA573&gt;0,Y573-BA573,BA573)</f>
        <v>0</v>
      </c>
      <c r="BE573" s="31"/>
      <c r="BF573" s="30" t="s">
        <v>57</v>
      </c>
      <c r="BG573" s="31">
        <f>BE573*Q573</f>
        <v>0</v>
      </c>
      <c r="BH573" s="31">
        <f>BE573*R573*0.4</f>
        <v>0</v>
      </c>
      <c r="BI573" s="142"/>
      <c r="BJ573" s="142"/>
      <c r="BK573" s="32">
        <f>Y573*BE573</f>
        <v>0</v>
      </c>
      <c r="BL573" s="25"/>
      <c r="BM573" s="25"/>
      <c r="BN573" s="25">
        <v>200</v>
      </c>
      <c r="BO573" s="25"/>
      <c r="BP573" s="25">
        <f>BE573*AV573</f>
        <v>0</v>
      </c>
      <c r="BQ573" s="25">
        <f>BE573*AX573</f>
        <v>0</v>
      </c>
      <c r="BR573" s="26"/>
      <c r="BS573" s="32"/>
    </row>
    <row r="574" spans="1:71" s="6" customFormat="1" ht="41.25" customHeight="1">
      <c r="A574" s="18">
        <v>571</v>
      </c>
      <c r="B574" s="18" t="s">
        <v>94</v>
      </c>
      <c r="C574" s="18" t="s">
        <v>166</v>
      </c>
      <c r="D574" s="18" t="s">
        <v>96</v>
      </c>
      <c r="E574" s="22" t="s">
        <v>953</v>
      </c>
      <c r="F574" s="48" t="s">
        <v>98</v>
      </c>
      <c r="G574" s="48"/>
      <c r="H574" s="22"/>
      <c r="I574" s="22"/>
      <c r="J574" s="22"/>
      <c r="K574" s="22"/>
      <c r="L574" s="22"/>
      <c r="M574" s="22"/>
      <c r="N574" s="22" t="s">
        <v>1190</v>
      </c>
      <c r="O574" s="23"/>
      <c r="P574" s="18" t="s">
        <v>56</v>
      </c>
      <c r="Q574" s="72"/>
      <c r="R574" s="81"/>
      <c r="S574" s="25">
        <v>20</v>
      </c>
      <c r="T574" s="26"/>
      <c r="U574" s="26"/>
      <c r="V574" s="25">
        <v>20</v>
      </c>
      <c r="W574" s="26"/>
      <c r="X574" s="25">
        <v>20</v>
      </c>
      <c r="Y574" s="26">
        <f>T574+R574+Q574+U574+W574</f>
        <v>0</v>
      </c>
      <c r="Z574" s="27">
        <v>140</v>
      </c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>
        <f>SUM(AM574:AS574)</f>
        <v>0</v>
      </c>
      <c r="AM574" s="26"/>
      <c r="AN574" s="26"/>
      <c r="AO574" s="26"/>
      <c r="AP574" s="26"/>
      <c r="AQ574" s="26"/>
      <c r="AR574" s="26"/>
      <c r="AS574" s="26"/>
      <c r="AT574" s="28"/>
      <c r="AU574" s="28"/>
      <c r="AV574" s="26"/>
      <c r="AW574" s="26"/>
      <c r="AX574" s="28"/>
      <c r="AY574" s="72">
        <f>Y574-AV574-AX574-AW574</f>
        <v>0</v>
      </c>
      <c r="AZ574" s="68"/>
      <c r="BA574" s="26">
        <f>AL574+AG574+AA574+AT574</f>
        <v>0</v>
      </c>
      <c r="BB574" s="30">
        <f>BD574+AO574+AG574</f>
        <v>0</v>
      </c>
      <c r="BC574" s="30">
        <f>BD574+AS574</f>
        <v>0</v>
      </c>
      <c r="BD574" s="30">
        <f>IF(BA574&gt;0,Y574-BA574,BA574)</f>
        <v>0</v>
      </c>
      <c r="BE574" s="31">
        <v>24</v>
      </c>
      <c r="BF574" s="30" t="s">
        <v>57</v>
      </c>
      <c r="BG574" s="31">
        <f>BE574*Q574</f>
        <v>0</v>
      </c>
      <c r="BH574" s="31">
        <f>BE574*R574*0.4</f>
        <v>0</v>
      </c>
      <c r="BI574" s="142"/>
      <c r="BJ574" s="142"/>
      <c r="BK574" s="32">
        <f>Y574*BE574</f>
        <v>0</v>
      </c>
      <c r="BL574" s="25">
        <v>20</v>
      </c>
      <c r="BM574" s="25">
        <v>20</v>
      </c>
      <c r="BN574" s="25">
        <v>20</v>
      </c>
      <c r="BO574" s="25">
        <v>20</v>
      </c>
      <c r="BP574" s="25">
        <f>BE574*AV574</f>
        <v>0</v>
      </c>
      <c r="BQ574" s="25">
        <f>BE574*AX574</f>
        <v>0</v>
      </c>
      <c r="BR574" s="26"/>
      <c r="BS574" s="32"/>
    </row>
    <row r="575" spans="1:71" s="6" customFormat="1" ht="41.25" customHeight="1">
      <c r="A575" s="18">
        <v>572</v>
      </c>
      <c r="B575" s="50" t="s">
        <v>94</v>
      </c>
      <c r="C575" s="44" t="s">
        <v>459</v>
      </c>
      <c r="D575" s="18" t="s">
        <v>96</v>
      </c>
      <c r="E575" s="55" t="s">
        <v>216</v>
      </c>
      <c r="F575" s="48" t="s">
        <v>98</v>
      </c>
      <c r="G575" s="48"/>
      <c r="H575" s="50"/>
      <c r="I575" s="50"/>
      <c r="J575" s="50"/>
      <c r="K575" s="50"/>
      <c r="L575" s="20" t="s">
        <v>53</v>
      </c>
      <c r="M575" s="22"/>
      <c r="N575" s="22" t="s">
        <v>1191</v>
      </c>
      <c r="O575" s="23" t="s">
        <v>1192</v>
      </c>
      <c r="P575" s="18" t="s">
        <v>56</v>
      </c>
      <c r="Q575" s="42"/>
      <c r="R575" s="81"/>
      <c r="S575" s="25"/>
      <c r="T575" s="29">
        <v>200</v>
      </c>
      <c r="U575" s="26"/>
      <c r="V575" s="25">
        <v>200</v>
      </c>
      <c r="W575" s="26"/>
      <c r="X575" s="25"/>
      <c r="Y575" s="53">
        <f>T575+R575+Q575+U575+W575</f>
        <v>200</v>
      </c>
      <c r="Z575" s="27">
        <v>200</v>
      </c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>
        <f>SUM(AM575:AS575)</f>
        <v>0</v>
      </c>
      <c r="AM575" s="26"/>
      <c r="AN575" s="26"/>
      <c r="AO575" s="26"/>
      <c r="AP575" s="26"/>
      <c r="AQ575" s="26"/>
      <c r="AR575" s="26"/>
      <c r="AS575" s="26"/>
      <c r="AT575" s="28"/>
      <c r="AU575" s="28"/>
      <c r="AV575" s="26"/>
      <c r="AW575" s="26"/>
      <c r="AX575" s="28"/>
      <c r="AY575" s="29">
        <f>Y575-AV575-AX575-AW575</f>
        <v>200</v>
      </c>
      <c r="AZ575" s="29"/>
      <c r="BA575" s="26">
        <f>AL575+AG575+AA575+AT575</f>
        <v>0</v>
      </c>
      <c r="BB575" s="30">
        <f>BD575+AO575+AG575</f>
        <v>0</v>
      </c>
      <c r="BC575" s="30">
        <f>BD575+AS575</f>
        <v>0</v>
      </c>
      <c r="BD575" s="30">
        <f>IF(BA575&gt;0,Y575-BA575,BA575)</f>
        <v>0</v>
      </c>
      <c r="BE575" s="31">
        <v>6</v>
      </c>
      <c r="BF575" s="30" t="s">
        <v>57</v>
      </c>
      <c r="BG575" s="31">
        <f>BE575*Q575</f>
        <v>0</v>
      </c>
      <c r="BH575" s="31">
        <f>BE575*R575*0.4</f>
        <v>0</v>
      </c>
      <c r="BI575" s="31"/>
      <c r="BJ575" s="31"/>
      <c r="BK575" s="32">
        <f>Y575*BE575</f>
        <v>1200</v>
      </c>
      <c r="BL575" s="25"/>
      <c r="BM575" s="25"/>
      <c r="BN575" s="25"/>
      <c r="BO575" s="25"/>
      <c r="BP575" s="25">
        <f>BE575*AV575</f>
        <v>0</v>
      </c>
      <c r="BQ575" s="25">
        <f>BE575*AX575</f>
        <v>0</v>
      </c>
      <c r="BR575" s="26"/>
      <c r="BS575" s="32"/>
    </row>
    <row r="576" spans="1:71" s="6" customFormat="1" ht="41.25" customHeight="1">
      <c r="A576" s="18">
        <v>573</v>
      </c>
      <c r="B576" s="18" t="s">
        <v>58</v>
      </c>
      <c r="C576" s="65" t="s">
        <v>369</v>
      </c>
      <c r="D576" s="21" t="s">
        <v>50</v>
      </c>
      <c r="E576" s="20" t="s">
        <v>1197</v>
      </c>
      <c r="F576" s="52" t="s">
        <v>123</v>
      </c>
      <c r="G576" s="52"/>
      <c r="H576" s="22"/>
      <c r="I576" s="22"/>
      <c r="J576" s="22"/>
      <c r="K576" s="22"/>
      <c r="L576" s="20" t="s">
        <v>53</v>
      </c>
      <c r="M576" s="22"/>
      <c r="N576" s="22" t="s">
        <v>1198</v>
      </c>
      <c r="O576" s="23"/>
      <c r="P576" s="18" t="s">
        <v>56</v>
      </c>
      <c r="Q576" s="72"/>
      <c r="R576" s="72"/>
      <c r="S576" s="25">
        <v>280</v>
      </c>
      <c r="T576" s="26"/>
      <c r="U576" s="26"/>
      <c r="V576" s="25">
        <v>280</v>
      </c>
      <c r="W576" s="26"/>
      <c r="X576" s="25">
        <v>168</v>
      </c>
      <c r="Y576" s="26">
        <f>T576+R576+Q576+U576+W576</f>
        <v>0</v>
      </c>
      <c r="Z576" s="27">
        <v>1400</v>
      </c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>
        <f>SUM(AM576:AS576)</f>
        <v>0</v>
      </c>
      <c r="AM576" s="26"/>
      <c r="AN576" s="26"/>
      <c r="AO576" s="26"/>
      <c r="AP576" s="26"/>
      <c r="AQ576" s="26"/>
      <c r="AR576" s="26"/>
      <c r="AS576" s="26"/>
      <c r="AT576" s="28"/>
      <c r="AU576" s="28"/>
      <c r="AV576" s="26"/>
      <c r="AW576" s="26"/>
      <c r="AX576" s="28"/>
      <c r="AY576" s="72">
        <f>Y576-AV576-AX576-AW576</f>
        <v>0</v>
      </c>
      <c r="AZ576" s="68"/>
      <c r="BA576" s="26">
        <f>AL576+AG576+AA576+AT576</f>
        <v>0</v>
      </c>
      <c r="BB576" s="30">
        <f>BD576+AO576+AG576</f>
        <v>0</v>
      </c>
      <c r="BC576" s="30">
        <f>BD576+AS576</f>
        <v>0</v>
      </c>
      <c r="BD576" s="30">
        <f>IF(BA576&gt;0,Y576-BA576,BA576)</f>
        <v>0</v>
      </c>
      <c r="BE576" s="31">
        <v>3.75</v>
      </c>
      <c r="BF576" s="30" t="s">
        <v>57</v>
      </c>
      <c r="BG576" s="31">
        <f>BE576*Q576</f>
        <v>0</v>
      </c>
      <c r="BH576" s="31">
        <f>BE576*R576*0.4</f>
        <v>0</v>
      </c>
      <c r="BI576" s="142"/>
      <c r="BJ576" s="142"/>
      <c r="BK576" s="32">
        <f>Y576*BE576</f>
        <v>0</v>
      </c>
      <c r="BL576" s="25">
        <v>168</v>
      </c>
      <c r="BM576" s="25">
        <v>168</v>
      </c>
      <c r="BN576" s="25">
        <v>168</v>
      </c>
      <c r="BO576" s="25">
        <v>168</v>
      </c>
      <c r="BP576" s="25">
        <f>BE576*AV576</f>
        <v>0</v>
      </c>
      <c r="BQ576" s="25">
        <f>BE576*AX576</f>
        <v>0</v>
      </c>
      <c r="BR576" s="26"/>
      <c r="BS576" s="32"/>
    </row>
    <row r="577" spans="1:71" s="6" customFormat="1" ht="41.25" customHeight="1">
      <c r="A577" s="18">
        <v>574</v>
      </c>
      <c r="B577" s="18" t="s">
        <v>87</v>
      </c>
      <c r="C577" s="65" t="s">
        <v>125</v>
      </c>
      <c r="D577" s="47" t="s">
        <v>89</v>
      </c>
      <c r="E577" s="20" t="s">
        <v>1207</v>
      </c>
      <c r="F577" s="21" t="s">
        <v>52</v>
      </c>
      <c r="G577" s="21"/>
      <c r="H577" s="22"/>
      <c r="I577" s="22" t="s">
        <v>345</v>
      </c>
      <c r="J577" s="22"/>
      <c r="K577" s="22"/>
      <c r="L577" s="20" t="s">
        <v>53</v>
      </c>
      <c r="M577" s="22"/>
      <c r="N577" s="22" t="s">
        <v>1208</v>
      </c>
      <c r="O577" s="23" t="s">
        <v>1209</v>
      </c>
      <c r="P577" s="18" t="s">
        <v>56</v>
      </c>
      <c r="Q577" s="72"/>
      <c r="R577" s="72"/>
      <c r="S577" s="25">
        <v>200</v>
      </c>
      <c r="T577" s="26"/>
      <c r="U577" s="26"/>
      <c r="V577" s="25"/>
      <c r="W577" s="26"/>
      <c r="X577" s="25"/>
      <c r="Y577" s="26">
        <f>T577+R577+Q577+U577+W577</f>
        <v>0</v>
      </c>
      <c r="Z577" s="27">
        <v>200</v>
      </c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>
        <f>SUM(AM577:AS577)</f>
        <v>0</v>
      </c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72">
        <f>Y577-AV577-AX577-AW577</f>
        <v>0</v>
      </c>
      <c r="AZ577" s="68"/>
      <c r="BA577" s="26">
        <f>AL577+AG577+AA577+AT577</f>
        <v>0</v>
      </c>
      <c r="BB577" s="30">
        <f>BD577+AO577+AG577</f>
        <v>0</v>
      </c>
      <c r="BC577" s="30">
        <f>BD577+AS577</f>
        <v>0</v>
      </c>
      <c r="BD577" s="30">
        <f>IF(BA577&gt;0,Y577-BA577,BA577)</f>
        <v>0</v>
      </c>
      <c r="BE577" s="31">
        <v>3.75</v>
      </c>
      <c r="BF577" s="30" t="s">
        <v>57</v>
      </c>
      <c r="BG577" s="31">
        <f>BE577*Q577</f>
        <v>0</v>
      </c>
      <c r="BH577" s="31">
        <f>BE577*R577*0.4</f>
        <v>0</v>
      </c>
      <c r="BI577" s="31"/>
      <c r="BJ577" s="31"/>
      <c r="BK577" s="32">
        <f>Y577*BE577</f>
        <v>0</v>
      </c>
      <c r="BL577" s="25"/>
      <c r="BM577" s="25"/>
      <c r="BN577" s="25"/>
      <c r="BO577" s="25"/>
      <c r="BP577" s="25">
        <f>BE577*AV577</f>
        <v>0</v>
      </c>
      <c r="BQ577" s="25">
        <f>BE577*AX577</f>
        <v>0</v>
      </c>
      <c r="BR577" s="26"/>
      <c r="BS577" s="32"/>
    </row>
    <row r="578" spans="1:71" s="6" customFormat="1" ht="41.25" customHeight="1">
      <c r="A578" s="18">
        <v>575</v>
      </c>
      <c r="B578" s="18" t="s">
        <v>58</v>
      </c>
      <c r="C578" s="18" t="s">
        <v>259</v>
      </c>
      <c r="D578" s="21" t="s">
        <v>50</v>
      </c>
      <c r="E578" s="20" t="s">
        <v>1210</v>
      </c>
      <c r="F578" s="52" t="s">
        <v>123</v>
      </c>
      <c r="G578" s="52"/>
      <c r="H578" s="22">
        <v>200</v>
      </c>
      <c r="I578" s="22">
        <v>300</v>
      </c>
      <c r="J578" s="22"/>
      <c r="K578" s="22"/>
      <c r="L578" s="20" t="s">
        <v>53</v>
      </c>
      <c r="M578" s="22"/>
      <c r="N578" s="22" t="s">
        <v>1211</v>
      </c>
      <c r="O578" s="23" t="s">
        <v>1212</v>
      </c>
      <c r="P578" s="18" t="s">
        <v>56</v>
      </c>
      <c r="Q578" s="72"/>
      <c r="R578" s="72"/>
      <c r="S578" s="25">
        <v>260</v>
      </c>
      <c r="T578" s="26"/>
      <c r="U578" s="26"/>
      <c r="V578" s="25">
        <v>260</v>
      </c>
      <c r="W578" s="26"/>
      <c r="X578" s="25">
        <v>156</v>
      </c>
      <c r="Y578" s="26">
        <f>T578+R578+Q578+U578+W578</f>
        <v>0</v>
      </c>
      <c r="Z578" s="27">
        <v>1300</v>
      </c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>
        <f>SUM(AM578:AS578)</f>
        <v>0</v>
      </c>
      <c r="AM578" s="26"/>
      <c r="AN578" s="26"/>
      <c r="AO578" s="26"/>
      <c r="AP578" s="26"/>
      <c r="AQ578" s="26"/>
      <c r="AR578" s="26"/>
      <c r="AS578" s="26"/>
      <c r="AT578" s="28"/>
      <c r="AU578" s="28"/>
      <c r="AV578" s="26"/>
      <c r="AW578" s="26"/>
      <c r="AX578" s="28"/>
      <c r="AY578" s="72">
        <f>Y578-AV578-AX578-AW578</f>
        <v>0</v>
      </c>
      <c r="AZ578" s="68"/>
      <c r="BA578" s="26">
        <f>AL578+AG578+AA578+AT578</f>
        <v>0</v>
      </c>
      <c r="BB578" s="30">
        <f>BD578+AO578+AG578</f>
        <v>0</v>
      </c>
      <c r="BC578" s="30">
        <f>BD578+AS578</f>
        <v>0</v>
      </c>
      <c r="BD578" s="30">
        <f>IF(BA578&gt;0,Y578-BA578,BA578)</f>
        <v>0</v>
      </c>
      <c r="BE578" s="31">
        <v>7</v>
      </c>
      <c r="BF578" s="30" t="s">
        <v>57</v>
      </c>
      <c r="BG578" s="31">
        <f>BE578*Q578</f>
        <v>0</v>
      </c>
      <c r="BH578" s="31">
        <f>BE578*R578*0.4</f>
        <v>0</v>
      </c>
      <c r="BI578" s="31"/>
      <c r="BJ578" s="31"/>
      <c r="BK578" s="32">
        <f>Y578*BE578</f>
        <v>0</v>
      </c>
      <c r="BL578" s="25">
        <v>156</v>
      </c>
      <c r="BM578" s="25">
        <v>156</v>
      </c>
      <c r="BN578" s="25">
        <v>156</v>
      </c>
      <c r="BO578" s="25">
        <v>156</v>
      </c>
      <c r="BP578" s="25">
        <f>BE578*AV578</f>
        <v>0</v>
      </c>
      <c r="BQ578" s="25">
        <f>BE578*AX578</f>
        <v>0</v>
      </c>
      <c r="BR578" s="26"/>
      <c r="BS578" s="32"/>
    </row>
    <row r="579" spans="1:71" s="6" customFormat="1" ht="41.25" customHeight="1">
      <c r="A579" s="18">
        <v>576</v>
      </c>
      <c r="B579" s="18" t="s">
        <v>87</v>
      </c>
      <c r="C579" s="18" t="s">
        <v>172</v>
      </c>
      <c r="D579" s="47" t="s">
        <v>89</v>
      </c>
      <c r="E579" s="22" t="s">
        <v>1213</v>
      </c>
      <c r="F579" s="19" t="s">
        <v>127</v>
      </c>
      <c r="G579" s="19"/>
      <c r="H579" s="22"/>
      <c r="I579" s="22" t="s">
        <v>129</v>
      </c>
      <c r="J579" s="22"/>
      <c r="K579" s="22"/>
      <c r="L579" s="22"/>
      <c r="M579" s="22"/>
      <c r="N579" s="22" t="s">
        <v>1211</v>
      </c>
      <c r="O579" s="23" t="s">
        <v>1214</v>
      </c>
      <c r="P579" s="18" t="s">
        <v>56</v>
      </c>
      <c r="Q579" s="72"/>
      <c r="R579" s="72"/>
      <c r="S579" s="25">
        <v>200</v>
      </c>
      <c r="T579" s="26"/>
      <c r="U579" s="26"/>
      <c r="V579" s="25"/>
      <c r="W579" s="26"/>
      <c r="X579" s="25"/>
      <c r="Y579" s="26">
        <f>T579+R579+Q579+U579+W579</f>
        <v>0</v>
      </c>
      <c r="Z579" s="27">
        <v>200</v>
      </c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>
        <f>SUM(AM579:AS579)</f>
        <v>0</v>
      </c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72">
        <f>Y579-AV579-AX579-AW579</f>
        <v>0</v>
      </c>
      <c r="AZ579" s="68"/>
      <c r="BA579" s="26">
        <f>AL579+AG579+AA579+AT579</f>
        <v>0</v>
      </c>
      <c r="BB579" s="30">
        <f>BD579+AO579+AG579</f>
        <v>0</v>
      </c>
      <c r="BC579" s="30">
        <f>BD579+AS579</f>
        <v>0</v>
      </c>
      <c r="BD579" s="30">
        <f>IF(BA579&gt;0,Y579-BA579,BA579)</f>
        <v>0</v>
      </c>
      <c r="BE579" s="31">
        <v>30</v>
      </c>
      <c r="BF579" s="30" t="s">
        <v>57</v>
      </c>
      <c r="BG579" s="31">
        <f>BE579*Q579</f>
        <v>0</v>
      </c>
      <c r="BH579" s="31">
        <f>BE579*R579*0.4</f>
        <v>0</v>
      </c>
      <c r="BI579" s="31"/>
      <c r="BJ579" s="31"/>
      <c r="BK579" s="32">
        <f>Y579*BE579</f>
        <v>0</v>
      </c>
      <c r="BL579" s="25"/>
      <c r="BM579" s="25"/>
      <c r="BN579" s="25"/>
      <c r="BO579" s="25"/>
      <c r="BP579" s="25">
        <f>BE579*AV579</f>
        <v>0</v>
      </c>
      <c r="BQ579" s="25">
        <f>BE579*AX579</f>
        <v>0</v>
      </c>
      <c r="BR579" s="26"/>
      <c r="BS579" s="32"/>
    </row>
    <row r="580" spans="1:71" s="6" customFormat="1" ht="41.25" customHeight="1">
      <c r="A580" s="18">
        <v>577</v>
      </c>
      <c r="B580" s="18" t="s">
        <v>94</v>
      </c>
      <c r="C580" s="18" t="s">
        <v>200</v>
      </c>
      <c r="D580" s="18" t="s">
        <v>96</v>
      </c>
      <c r="E580" s="22" t="s">
        <v>1215</v>
      </c>
      <c r="F580" s="48" t="s">
        <v>98</v>
      </c>
      <c r="G580" s="48"/>
      <c r="H580" s="22"/>
      <c r="I580" s="22"/>
      <c r="J580" s="22"/>
      <c r="K580" s="22"/>
      <c r="L580" s="22"/>
      <c r="M580" s="22"/>
      <c r="N580" s="22" t="s">
        <v>1216</v>
      </c>
      <c r="O580" s="23"/>
      <c r="P580" s="18" t="s">
        <v>56</v>
      </c>
      <c r="Q580" s="72"/>
      <c r="R580" s="72"/>
      <c r="S580" s="25">
        <v>40</v>
      </c>
      <c r="T580" s="26"/>
      <c r="U580" s="26"/>
      <c r="V580" s="25">
        <v>40</v>
      </c>
      <c r="W580" s="26"/>
      <c r="X580" s="25">
        <v>40</v>
      </c>
      <c r="Y580" s="26">
        <f>T580+R580+Q580+U580+W580</f>
        <v>0</v>
      </c>
      <c r="Z580" s="27">
        <v>280</v>
      </c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>
        <f>SUM(AM580:AS580)</f>
        <v>0</v>
      </c>
      <c r="AM580" s="26"/>
      <c r="AN580" s="26"/>
      <c r="AO580" s="26"/>
      <c r="AP580" s="26"/>
      <c r="AQ580" s="26"/>
      <c r="AR580" s="26"/>
      <c r="AS580" s="26"/>
      <c r="AT580" s="28"/>
      <c r="AU580" s="28"/>
      <c r="AV580" s="26"/>
      <c r="AW580" s="26"/>
      <c r="AX580" s="28"/>
      <c r="AY580" s="72">
        <f>Y580-AV580-AX580-AW580</f>
        <v>0</v>
      </c>
      <c r="AZ580" s="68"/>
      <c r="BA580" s="26">
        <f>AL580+AG580+AA580+AT580</f>
        <v>0</v>
      </c>
      <c r="BB580" s="30">
        <f>BD580+AO580+AG580</f>
        <v>0</v>
      </c>
      <c r="BC580" s="30">
        <f>BD580+AS580</f>
        <v>0</v>
      </c>
      <c r="BD580" s="30">
        <f>IF(BA580&gt;0,Y580-BA580,BA580)</f>
        <v>0</v>
      </c>
      <c r="BE580" s="31">
        <v>8</v>
      </c>
      <c r="BF580" s="30" t="s">
        <v>57</v>
      </c>
      <c r="BG580" s="31">
        <f>BE580*Q580</f>
        <v>0</v>
      </c>
      <c r="BH580" s="31">
        <f>BE580*R580*0.4</f>
        <v>0</v>
      </c>
      <c r="BI580" s="142"/>
      <c r="BJ580" s="142"/>
      <c r="BK580" s="32">
        <f>Y580*BE580</f>
        <v>0</v>
      </c>
      <c r="BL580" s="25">
        <v>40</v>
      </c>
      <c r="BM580" s="25">
        <v>40</v>
      </c>
      <c r="BN580" s="25">
        <v>40</v>
      </c>
      <c r="BO580" s="25">
        <v>40</v>
      </c>
      <c r="BP580" s="25">
        <f>BE580*AV580</f>
        <v>0</v>
      </c>
      <c r="BQ580" s="25">
        <f>BE580*AX580</f>
        <v>0</v>
      </c>
      <c r="BR580" s="26"/>
      <c r="BS580" s="32"/>
    </row>
    <row r="581" spans="1:71" s="6" customFormat="1" ht="41.25" customHeight="1">
      <c r="A581" s="18">
        <v>578</v>
      </c>
      <c r="B581" s="18" t="s">
        <v>94</v>
      </c>
      <c r="C581" s="18" t="s">
        <v>200</v>
      </c>
      <c r="D581" s="18" t="s">
        <v>96</v>
      </c>
      <c r="E581" s="22" t="s">
        <v>1215</v>
      </c>
      <c r="F581" s="48" t="s">
        <v>98</v>
      </c>
      <c r="G581" s="48"/>
      <c r="H581" s="22"/>
      <c r="I581" s="22"/>
      <c r="J581" s="22"/>
      <c r="K581" s="22"/>
      <c r="L581" s="22"/>
      <c r="M581" s="22"/>
      <c r="N581" s="22" t="s">
        <v>1217</v>
      </c>
      <c r="O581" s="23"/>
      <c r="P581" s="18" t="s">
        <v>56</v>
      </c>
      <c r="Q581" s="72"/>
      <c r="R581" s="72"/>
      <c r="S581" s="25">
        <v>40</v>
      </c>
      <c r="T581" s="26"/>
      <c r="U581" s="26"/>
      <c r="V581" s="25">
        <v>40</v>
      </c>
      <c r="W581" s="26"/>
      <c r="X581" s="25">
        <v>40</v>
      </c>
      <c r="Y581" s="26">
        <f>T581+R581+Q581+U581+W581</f>
        <v>0</v>
      </c>
      <c r="Z581" s="27">
        <v>280</v>
      </c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>
        <f>SUM(AM581:AS581)</f>
        <v>0</v>
      </c>
      <c r="AM581" s="26"/>
      <c r="AN581" s="26"/>
      <c r="AO581" s="26"/>
      <c r="AP581" s="26"/>
      <c r="AQ581" s="26"/>
      <c r="AR581" s="26"/>
      <c r="AS581" s="26"/>
      <c r="AT581" s="28"/>
      <c r="AU581" s="28"/>
      <c r="AV581" s="26"/>
      <c r="AW581" s="26"/>
      <c r="AX581" s="28"/>
      <c r="AY581" s="72">
        <f>Y581-AV581-AX581-AW581</f>
        <v>0</v>
      </c>
      <c r="AZ581" s="68"/>
      <c r="BA581" s="26">
        <f>AL581+AG581+AA581+AT581</f>
        <v>0</v>
      </c>
      <c r="BB581" s="30">
        <f>BD581+AO581+AG581</f>
        <v>0</v>
      </c>
      <c r="BC581" s="30">
        <f>BD581+AS581</f>
        <v>0</v>
      </c>
      <c r="BD581" s="30">
        <f>IF(BA581&gt;0,Y581-BA581,BA581)</f>
        <v>0</v>
      </c>
      <c r="BE581" s="31">
        <v>8</v>
      </c>
      <c r="BF581" s="30" t="s">
        <v>57</v>
      </c>
      <c r="BG581" s="31">
        <f>BE581*Q581</f>
        <v>0</v>
      </c>
      <c r="BH581" s="31">
        <f>BE581*R581*0.4</f>
        <v>0</v>
      </c>
      <c r="BI581" s="142"/>
      <c r="BJ581" s="142"/>
      <c r="BK581" s="32">
        <f>Y581*BE581</f>
        <v>0</v>
      </c>
      <c r="BL581" s="25">
        <v>40</v>
      </c>
      <c r="BM581" s="25">
        <v>40</v>
      </c>
      <c r="BN581" s="25">
        <v>40</v>
      </c>
      <c r="BO581" s="25">
        <v>40</v>
      </c>
      <c r="BP581" s="25">
        <f>BE581*AV581</f>
        <v>0</v>
      </c>
      <c r="BQ581" s="25">
        <f>BE581*AX581</f>
        <v>0</v>
      </c>
      <c r="BR581" s="85"/>
      <c r="BS581" s="32"/>
    </row>
    <row r="582" spans="1:71" s="6" customFormat="1" ht="41.25" customHeight="1">
      <c r="A582" s="18">
        <v>579</v>
      </c>
      <c r="B582" s="18" t="s">
        <v>94</v>
      </c>
      <c r="C582" s="18" t="s">
        <v>209</v>
      </c>
      <c r="D582" s="18" t="s">
        <v>96</v>
      </c>
      <c r="E582" s="20" t="s">
        <v>1118</v>
      </c>
      <c r="F582" s="18" t="s">
        <v>209</v>
      </c>
      <c r="G582" s="18"/>
      <c r="H582" s="22"/>
      <c r="I582" s="22"/>
      <c r="J582" s="22"/>
      <c r="K582" s="22"/>
      <c r="L582" s="20" t="s">
        <v>53</v>
      </c>
      <c r="M582" s="22"/>
      <c r="N582" s="22" t="s">
        <v>1221</v>
      </c>
      <c r="O582" s="23"/>
      <c r="P582" s="18" t="s">
        <v>56</v>
      </c>
      <c r="Q582" s="72"/>
      <c r="R582" s="72"/>
      <c r="S582" s="25"/>
      <c r="T582" s="26"/>
      <c r="U582" s="26"/>
      <c r="V582" s="25"/>
      <c r="W582" s="26"/>
      <c r="X582" s="25"/>
      <c r="Y582" s="26">
        <f>T582+R582+Q582+U582+W582</f>
        <v>0</v>
      </c>
      <c r="Z582" s="27">
        <v>200</v>
      </c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>
        <f>SUM(AM582:AS582)</f>
        <v>0</v>
      </c>
      <c r="AM582" s="26"/>
      <c r="AN582" s="26"/>
      <c r="AO582" s="26"/>
      <c r="AP582" s="26"/>
      <c r="AQ582" s="26"/>
      <c r="AR582" s="26"/>
      <c r="AS582" s="26"/>
      <c r="AT582" s="28"/>
      <c r="AU582" s="28"/>
      <c r="AV582" s="26"/>
      <c r="AW582" s="26"/>
      <c r="AX582" s="28"/>
      <c r="AY582" s="72">
        <f>Y582-AV582-AX582-AW582</f>
        <v>0</v>
      </c>
      <c r="AZ582" s="68"/>
      <c r="BA582" s="26">
        <f>AL582+AG582+AA582+AT582</f>
        <v>0</v>
      </c>
      <c r="BB582" s="30">
        <f>BD582+AO582+AG582</f>
        <v>0</v>
      </c>
      <c r="BC582" s="30">
        <f>BD582+AS582</f>
        <v>0</v>
      </c>
      <c r="BD582" s="30">
        <f>IF(BA582&gt;0,Y582-BA582,BA582)</f>
        <v>0</v>
      </c>
      <c r="BE582" s="31"/>
      <c r="BF582" s="30" t="s">
        <v>57</v>
      </c>
      <c r="BG582" s="31">
        <f>BE582*Q582</f>
        <v>0</v>
      </c>
      <c r="BH582" s="31">
        <f>BE582*R582*0.4</f>
        <v>0</v>
      </c>
      <c r="BI582" s="31"/>
      <c r="BJ582" s="31"/>
      <c r="BK582" s="32">
        <f>Y582*BE582</f>
        <v>0</v>
      </c>
      <c r="BL582" s="25"/>
      <c r="BM582" s="25"/>
      <c r="BN582" s="25"/>
      <c r="BO582" s="25">
        <v>200</v>
      </c>
      <c r="BP582" s="25">
        <f>BE582*AV582</f>
        <v>0</v>
      </c>
      <c r="BQ582" s="25">
        <f>BE582*AX582</f>
        <v>0</v>
      </c>
      <c r="BR582" s="28"/>
      <c r="BS582" s="32"/>
    </row>
    <row r="583" spans="1:71" s="6" customFormat="1" ht="41.25" customHeight="1">
      <c r="A583" s="18">
        <v>580</v>
      </c>
      <c r="B583" s="18" t="s">
        <v>191</v>
      </c>
      <c r="C583" s="18" t="s">
        <v>192</v>
      </c>
      <c r="D583" s="21" t="s">
        <v>50</v>
      </c>
      <c r="E583" s="20" t="s">
        <v>1232</v>
      </c>
      <c r="F583" s="52" t="s">
        <v>123</v>
      </c>
      <c r="G583" s="52"/>
      <c r="H583" s="22">
        <v>200</v>
      </c>
      <c r="I583" s="22">
        <v>750</v>
      </c>
      <c r="J583" s="22"/>
      <c r="K583" s="22"/>
      <c r="L583" s="20" t="s">
        <v>53</v>
      </c>
      <c r="M583" s="22"/>
      <c r="N583" s="22" t="s">
        <v>1233</v>
      </c>
      <c r="O583" s="23" t="s">
        <v>1231</v>
      </c>
      <c r="P583" s="18" t="s">
        <v>56</v>
      </c>
      <c r="Q583" s="26"/>
      <c r="R583" s="72"/>
      <c r="S583" s="25">
        <v>40</v>
      </c>
      <c r="T583" s="26"/>
      <c r="U583" s="26"/>
      <c r="V583" s="25">
        <v>40</v>
      </c>
      <c r="W583" s="26"/>
      <c r="X583" s="25">
        <v>24</v>
      </c>
      <c r="Y583" s="26">
        <f>T583+R583+Q583+U583+W583</f>
        <v>0</v>
      </c>
      <c r="Z583" s="27">
        <v>200</v>
      </c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>
        <f>SUM(AM583:AS583)</f>
        <v>0</v>
      </c>
      <c r="AM583" s="26"/>
      <c r="AN583" s="26"/>
      <c r="AO583" s="26"/>
      <c r="AP583" s="26"/>
      <c r="AQ583" s="26"/>
      <c r="AR583" s="26"/>
      <c r="AS583" s="26"/>
      <c r="AT583" s="28"/>
      <c r="AU583" s="28"/>
      <c r="AV583" s="26"/>
      <c r="AW583" s="26"/>
      <c r="AX583" s="28"/>
      <c r="AY583" s="72">
        <f>Y583-AV583-AX583-AW583</f>
        <v>0</v>
      </c>
      <c r="AZ583" s="68"/>
      <c r="BA583" s="26">
        <f>AL583+AG583+AA583+AT583</f>
        <v>0</v>
      </c>
      <c r="BB583" s="30">
        <f>BD583+AO583+AG583</f>
        <v>0</v>
      </c>
      <c r="BC583" s="30">
        <f>BD583+AS583</f>
        <v>0</v>
      </c>
      <c r="BD583" s="30">
        <f>IF(BA583&gt;0,Y583-BA583,BA583)</f>
        <v>0</v>
      </c>
      <c r="BE583" s="31">
        <v>11</v>
      </c>
      <c r="BF583" s="30" t="s">
        <v>57</v>
      </c>
      <c r="BG583" s="31">
        <f>BE583*Q583</f>
        <v>0</v>
      </c>
      <c r="BH583" s="31">
        <f>BE583*R583*0.4</f>
        <v>0</v>
      </c>
      <c r="BI583" s="142"/>
      <c r="BJ583" s="142"/>
      <c r="BK583" s="32">
        <f>Y583*BE583</f>
        <v>0</v>
      </c>
      <c r="BL583" s="25">
        <v>24</v>
      </c>
      <c r="BM583" s="25">
        <v>24</v>
      </c>
      <c r="BN583" s="25">
        <v>24</v>
      </c>
      <c r="BO583" s="25">
        <v>24</v>
      </c>
      <c r="BP583" s="25">
        <f>BE583*AV583</f>
        <v>0</v>
      </c>
      <c r="BQ583" s="25">
        <f>BE583*AX583</f>
        <v>0</v>
      </c>
      <c r="BR583" s="28"/>
      <c r="BS583" s="32"/>
    </row>
    <row r="584" spans="1:71" s="6" customFormat="1" ht="41.25" customHeight="1">
      <c r="A584" s="18">
        <v>581</v>
      </c>
      <c r="B584" s="18" t="s">
        <v>87</v>
      </c>
      <c r="C584" s="18" t="s">
        <v>172</v>
      </c>
      <c r="D584" s="47" t="s">
        <v>89</v>
      </c>
      <c r="E584" s="22" t="s">
        <v>1213</v>
      </c>
      <c r="F584" s="34" t="s">
        <v>1234</v>
      </c>
      <c r="G584" s="36" t="s">
        <v>70</v>
      </c>
      <c r="H584" s="22">
        <v>300</v>
      </c>
      <c r="I584" s="22">
        <v>750</v>
      </c>
      <c r="J584" s="22"/>
      <c r="K584" s="22"/>
      <c r="L584" s="22"/>
      <c r="M584" s="22"/>
      <c r="N584" s="22" t="s">
        <v>1233</v>
      </c>
      <c r="O584" s="23" t="s">
        <v>1231</v>
      </c>
      <c r="P584" s="18" t="s">
        <v>56</v>
      </c>
      <c r="Q584" s="72"/>
      <c r="R584" s="72"/>
      <c r="S584" s="25">
        <v>50</v>
      </c>
      <c r="T584" s="26"/>
      <c r="U584" s="26"/>
      <c r="V584" s="25"/>
      <c r="W584" s="26"/>
      <c r="X584" s="25"/>
      <c r="Y584" s="26">
        <f>T584+R584+Q584+U584+W584</f>
        <v>0</v>
      </c>
      <c r="Z584" s="27">
        <v>50</v>
      </c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>
        <f>SUM(AM584:AS584)</f>
        <v>0</v>
      </c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72">
        <f>Y584-AV584-AX584-AW584</f>
        <v>0</v>
      </c>
      <c r="AZ584" s="68"/>
      <c r="BA584" s="26">
        <f>AL584+AG584+AA584+AT584</f>
        <v>0</v>
      </c>
      <c r="BB584" s="30">
        <f>BD584+AO584+AG584</f>
        <v>0</v>
      </c>
      <c r="BC584" s="30">
        <f>BD584+AS584</f>
        <v>0</v>
      </c>
      <c r="BD584" s="30">
        <f>IF(BA584&gt;0,Y584-BA584,BA584)</f>
        <v>0</v>
      </c>
      <c r="BE584" s="31">
        <v>11</v>
      </c>
      <c r="BF584" s="30" t="s">
        <v>57</v>
      </c>
      <c r="BG584" s="31">
        <f>BE584*Q584</f>
        <v>0</v>
      </c>
      <c r="BH584" s="31">
        <f>BE584*R584*0.4</f>
        <v>0</v>
      </c>
      <c r="BI584" s="142"/>
      <c r="BJ584" s="142"/>
      <c r="BK584" s="32">
        <f>Y584*BE584</f>
        <v>0</v>
      </c>
      <c r="BL584" s="25"/>
      <c r="BM584" s="25"/>
      <c r="BN584" s="25"/>
      <c r="BO584" s="25"/>
      <c r="BP584" s="25">
        <f>BE584*AV584</f>
        <v>0</v>
      </c>
      <c r="BQ584" s="25">
        <f>BE584*AX584</f>
        <v>0</v>
      </c>
      <c r="BR584" s="26"/>
      <c r="BS584" s="32"/>
    </row>
    <row r="585" spans="1:71" s="6" customFormat="1" ht="41.25" customHeight="1">
      <c r="A585" s="18">
        <v>582</v>
      </c>
      <c r="B585" s="18" t="s">
        <v>94</v>
      </c>
      <c r="C585" s="18" t="s">
        <v>121</v>
      </c>
      <c r="D585" s="18" t="s">
        <v>96</v>
      </c>
      <c r="E585" s="22" t="s">
        <v>201</v>
      </c>
      <c r="F585" s="52" t="s">
        <v>123</v>
      </c>
      <c r="G585" s="52"/>
      <c r="H585" s="22"/>
      <c r="I585" s="22"/>
      <c r="J585" s="22"/>
      <c r="K585" s="22"/>
      <c r="L585" s="22"/>
      <c r="M585" s="22"/>
      <c r="N585" s="22" t="s">
        <v>1237</v>
      </c>
      <c r="O585" s="23"/>
      <c r="P585" s="18" t="s">
        <v>56</v>
      </c>
      <c r="Q585" s="72"/>
      <c r="R585" s="72"/>
      <c r="S585" s="25">
        <v>40</v>
      </c>
      <c r="T585" s="26"/>
      <c r="U585" s="26"/>
      <c r="V585" s="25">
        <v>40</v>
      </c>
      <c r="W585" s="26"/>
      <c r="X585" s="25">
        <v>40</v>
      </c>
      <c r="Y585" s="26">
        <f>T585+R585+Q585+U585+W585</f>
        <v>0</v>
      </c>
      <c r="Z585" s="27">
        <v>280</v>
      </c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>
        <f>SUM(AM585:AS585)</f>
        <v>0</v>
      </c>
      <c r="AM585" s="26"/>
      <c r="AN585" s="26"/>
      <c r="AO585" s="26"/>
      <c r="AP585" s="26"/>
      <c r="AQ585" s="26"/>
      <c r="AR585" s="26"/>
      <c r="AS585" s="26"/>
      <c r="AT585" s="28"/>
      <c r="AU585" s="28"/>
      <c r="AV585" s="26"/>
      <c r="AW585" s="26"/>
      <c r="AX585" s="28"/>
      <c r="AY585" s="72">
        <f>Y585-AV585-AX585-AW585</f>
        <v>0</v>
      </c>
      <c r="AZ585" s="68"/>
      <c r="BA585" s="26">
        <f>AL585+AG585+AA585+AT585</f>
        <v>0</v>
      </c>
      <c r="BB585" s="30">
        <f>BD585+AO585+AG585</f>
        <v>0</v>
      </c>
      <c r="BC585" s="30">
        <f>BD585+AS585</f>
        <v>0</v>
      </c>
      <c r="BD585" s="30">
        <f>IF(BA585&gt;0,Y585-BA585,BA585)</f>
        <v>0</v>
      </c>
      <c r="BE585" s="31">
        <v>5</v>
      </c>
      <c r="BF585" s="30" t="s">
        <v>57</v>
      </c>
      <c r="BG585" s="31">
        <f>BE585*Q585</f>
        <v>0</v>
      </c>
      <c r="BH585" s="31">
        <f>BE585*R585*0.4</f>
        <v>0</v>
      </c>
      <c r="BI585" s="142"/>
      <c r="BJ585" s="142"/>
      <c r="BK585" s="32">
        <f>Y585*BE585</f>
        <v>0</v>
      </c>
      <c r="BL585" s="25">
        <v>40</v>
      </c>
      <c r="BM585" s="25">
        <v>40</v>
      </c>
      <c r="BN585" s="25">
        <v>40</v>
      </c>
      <c r="BO585" s="25">
        <v>40</v>
      </c>
      <c r="BP585" s="25">
        <f>BE585*AV585</f>
        <v>0</v>
      </c>
      <c r="BQ585" s="25">
        <f>BE585*AX585</f>
        <v>0</v>
      </c>
      <c r="BR585" s="26"/>
      <c r="BS585" s="32"/>
    </row>
    <row r="586" spans="1:71" s="6" customFormat="1" ht="41.25" customHeight="1">
      <c r="A586" s="18">
        <v>583</v>
      </c>
      <c r="B586" s="18" t="s">
        <v>94</v>
      </c>
      <c r="C586" s="18" t="s">
        <v>388</v>
      </c>
      <c r="D586" s="18" t="s">
        <v>96</v>
      </c>
      <c r="E586" s="22" t="s">
        <v>1238</v>
      </c>
      <c r="F586" s="58" t="s">
        <v>146</v>
      </c>
      <c r="G586" s="58" t="s">
        <v>147</v>
      </c>
      <c r="H586" s="22"/>
      <c r="I586" s="22"/>
      <c r="J586" s="22"/>
      <c r="K586" s="22"/>
      <c r="L586" s="22"/>
      <c r="M586" s="22"/>
      <c r="N586" s="22" t="s">
        <v>1239</v>
      </c>
      <c r="O586" s="23"/>
      <c r="P586" s="38" t="s">
        <v>56</v>
      </c>
      <c r="Q586" s="29">
        <v>18</v>
      </c>
      <c r="R586" s="72"/>
      <c r="S586" s="40">
        <v>20</v>
      </c>
      <c r="T586" s="26"/>
      <c r="U586" s="26"/>
      <c r="V586" s="25">
        <v>20</v>
      </c>
      <c r="W586" s="26"/>
      <c r="X586" s="25">
        <v>20</v>
      </c>
      <c r="Y586" s="53">
        <f>T586+R586+Q586+U586+W586</f>
        <v>18</v>
      </c>
      <c r="Z586" s="27">
        <v>140</v>
      </c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>
        <f>SUM(AM586:AS586)</f>
        <v>0</v>
      </c>
      <c r="AM586" s="26"/>
      <c r="AN586" s="26"/>
      <c r="AO586" s="26"/>
      <c r="AP586" s="26"/>
      <c r="AQ586" s="26"/>
      <c r="AR586" s="26"/>
      <c r="AS586" s="26"/>
      <c r="AT586" s="28"/>
      <c r="AU586" s="28"/>
      <c r="AV586" s="26"/>
      <c r="AW586" s="26"/>
      <c r="AX586" s="28"/>
      <c r="AY586" s="29">
        <f>Y586-AV586-AX586-AW586</f>
        <v>18</v>
      </c>
      <c r="AZ586" s="29">
        <f>'Layout for shadhous 3'!Q52</f>
        <v>15</v>
      </c>
      <c r="BA586" s="26">
        <f>AL586+AG586+AA586+AT586</f>
        <v>0</v>
      </c>
      <c r="BB586" s="30">
        <f>BD586+AO586+AG586</f>
        <v>0</v>
      </c>
      <c r="BC586" s="30">
        <f>BD586+AS586</f>
        <v>0</v>
      </c>
      <c r="BD586" s="30">
        <f>IF(BA586&gt;0,Y586-BA586,BA586)</f>
        <v>0</v>
      </c>
      <c r="BE586" s="31">
        <v>32</v>
      </c>
      <c r="BF586" s="30" t="s">
        <v>57</v>
      </c>
      <c r="BG586" s="31">
        <f>BE586*Q586</f>
        <v>576</v>
      </c>
      <c r="BH586" s="31">
        <f>BE586*R586*0.4</f>
        <v>0</v>
      </c>
      <c r="BI586" s="142"/>
      <c r="BJ586" s="142"/>
      <c r="BK586" s="32">
        <f>Y586*BE586</f>
        <v>576</v>
      </c>
      <c r="BL586" s="25">
        <v>20</v>
      </c>
      <c r="BM586" s="25">
        <v>20</v>
      </c>
      <c r="BN586" s="25">
        <v>20</v>
      </c>
      <c r="BO586" s="25">
        <v>20</v>
      </c>
      <c r="BP586" s="25">
        <f>BE586*AV586</f>
        <v>0</v>
      </c>
      <c r="BQ586" s="25">
        <f>BE586*AX586</f>
        <v>0</v>
      </c>
      <c r="BR586" s="26"/>
      <c r="BS586" s="32"/>
    </row>
    <row r="587" spans="1:71" s="6" customFormat="1" ht="41.25" customHeight="1">
      <c r="A587" s="18">
        <v>584</v>
      </c>
      <c r="B587" s="18" t="s">
        <v>94</v>
      </c>
      <c r="C587" s="18" t="s">
        <v>388</v>
      </c>
      <c r="D587" s="18" t="s">
        <v>96</v>
      </c>
      <c r="E587" s="22" t="s">
        <v>1238</v>
      </c>
      <c r="F587" s="58" t="s">
        <v>146</v>
      </c>
      <c r="G587" s="58" t="s">
        <v>147</v>
      </c>
      <c r="H587" s="22"/>
      <c r="I587" s="22"/>
      <c r="J587" s="22"/>
      <c r="K587" s="22"/>
      <c r="L587" s="22"/>
      <c r="M587" s="22"/>
      <c r="N587" s="22" t="s">
        <v>1240</v>
      </c>
      <c r="O587" s="23"/>
      <c r="P587" s="18" t="s">
        <v>56</v>
      </c>
      <c r="Q587" s="72"/>
      <c r="R587" s="72"/>
      <c r="S587" s="25">
        <v>20</v>
      </c>
      <c r="T587" s="26"/>
      <c r="U587" s="26"/>
      <c r="V587" s="25">
        <v>20</v>
      </c>
      <c r="W587" s="26"/>
      <c r="X587" s="25">
        <v>20</v>
      </c>
      <c r="Y587" s="26">
        <f>T587+R587+Q587+U587+W587</f>
        <v>0</v>
      </c>
      <c r="Z587" s="27">
        <v>140</v>
      </c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>
        <f>SUM(AM587:AS587)</f>
        <v>0</v>
      </c>
      <c r="AM587" s="26"/>
      <c r="AN587" s="26"/>
      <c r="AO587" s="26"/>
      <c r="AP587" s="26"/>
      <c r="AQ587" s="26"/>
      <c r="AR587" s="26"/>
      <c r="AS587" s="26"/>
      <c r="AT587" s="28"/>
      <c r="AU587" s="28"/>
      <c r="AV587" s="26"/>
      <c r="AW587" s="26"/>
      <c r="AX587" s="28"/>
      <c r="AY587" s="72">
        <f>Y587-AV587-AX587-AW587</f>
        <v>0</v>
      </c>
      <c r="AZ587" s="68"/>
      <c r="BA587" s="26">
        <f>AL587+AG587+AA587+AT587</f>
        <v>0</v>
      </c>
      <c r="BB587" s="30">
        <f>BD587+AO587+AG587</f>
        <v>0</v>
      </c>
      <c r="BC587" s="30">
        <f>BD587+AS587</f>
        <v>0</v>
      </c>
      <c r="BD587" s="30">
        <f>IF(BA587&gt;0,Y587-BA587,BA587)</f>
        <v>0</v>
      </c>
      <c r="BE587" s="31">
        <v>32</v>
      </c>
      <c r="BF587" s="30" t="s">
        <v>57</v>
      </c>
      <c r="BG587" s="31">
        <f>BE587*Q587</f>
        <v>0</v>
      </c>
      <c r="BH587" s="31">
        <f>BE587*R587*0.4</f>
        <v>0</v>
      </c>
      <c r="BI587" s="142"/>
      <c r="BJ587" s="142"/>
      <c r="BK587" s="32">
        <f>Y587*BE587</f>
        <v>0</v>
      </c>
      <c r="BL587" s="25">
        <v>20</v>
      </c>
      <c r="BM587" s="25">
        <v>20</v>
      </c>
      <c r="BN587" s="25">
        <v>20</v>
      </c>
      <c r="BO587" s="25">
        <v>20</v>
      </c>
      <c r="BP587" s="25">
        <f>BE587*AV587</f>
        <v>0</v>
      </c>
      <c r="BQ587" s="25">
        <f>BE587*AX587</f>
        <v>0</v>
      </c>
      <c r="BR587" s="26"/>
      <c r="BS587" s="32"/>
    </row>
    <row r="588" spans="1:71" s="6" customFormat="1" ht="41.25" customHeight="1">
      <c r="A588" s="18">
        <v>585</v>
      </c>
      <c r="B588" s="18" t="s">
        <v>94</v>
      </c>
      <c r="C588" s="18" t="s">
        <v>388</v>
      </c>
      <c r="D588" s="18" t="s">
        <v>96</v>
      </c>
      <c r="E588" s="22" t="s">
        <v>1241</v>
      </c>
      <c r="F588" s="58" t="s">
        <v>146</v>
      </c>
      <c r="G588" s="58" t="s">
        <v>147</v>
      </c>
      <c r="H588" s="22"/>
      <c r="I588" s="22"/>
      <c r="J588" s="22"/>
      <c r="K588" s="22"/>
      <c r="L588" s="22"/>
      <c r="M588" s="22"/>
      <c r="N588" s="22" t="s">
        <v>1242</v>
      </c>
      <c r="O588" s="23"/>
      <c r="P588" s="18" t="s">
        <v>56</v>
      </c>
      <c r="Q588" s="72"/>
      <c r="R588" s="72"/>
      <c r="S588" s="25">
        <v>20</v>
      </c>
      <c r="T588" s="26"/>
      <c r="U588" s="26"/>
      <c r="V588" s="25">
        <v>20</v>
      </c>
      <c r="W588" s="26"/>
      <c r="X588" s="25">
        <v>20</v>
      </c>
      <c r="Y588" s="26">
        <f>T588+R588+Q588+U588+W588</f>
        <v>0</v>
      </c>
      <c r="Z588" s="27">
        <v>140</v>
      </c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>
        <f>SUM(AM588:AS588)</f>
        <v>0</v>
      </c>
      <c r="AM588" s="26"/>
      <c r="AN588" s="26"/>
      <c r="AO588" s="26"/>
      <c r="AP588" s="26"/>
      <c r="AQ588" s="26"/>
      <c r="AR588" s="26"/>
      <c r="AS588" s="26"/>
      <c r="AT588" s="28"/>
      <c r="AU588" s="28"/>
      <c r="AV588" s="26"/>
      <c r="AW588" s="26"/>
      <c r="AX588" s="28"/>
      <c r="AY588" s="72">
        <f>Y588-AV588-AX588-AW588</f>
        <v>0</v>
      </c>
      <c r="AZ588" s="68"/>
      <c r="BA588" s="26">
        <f>AL588+AG588+AA588+AT588</f>
        <v>0</v>
      </c>
      <c r="BB588" s="30">
        <f>BD588+AO588+AG588</f>
        <v>0</v>
      </c>
      <c r="BC588" s="30">
        <f>BD588+AS588</f>
        <v>0</v>
      </c>
      <c r="BD588" s="30">
        <f>IF(BA588&gt;0,Y588-BA588,BA588)</f>
        <v>0</v>
      </c>
      <c r="BE588" s="31">
        <v>57</v>
      </c>
      <c r="BF588" s="30" t="s">
        <v>57</v>
      </c>
      <c r="BG588" s="31">
        <f>BE588*Q588</f>
        <v>0</v>
      </c>
      <c r="BH588" s="31">
        <f>BE588*R588*0.4</f>
        <v>0</v>
      </c>
      <c r="BI588" s="142"/>
      <c r="BJ588" s="142"/>
      <c r="BK588" s="32">
        <f>Y588*BE588</f>
        <v>0</v>
      </c>
      <c r="BL588" s="25">
        <v>20</v>
      </c>
      <c r="BM588" s="25">
        <v>20</v>
      </c>
      <c r="BN588" s="25">
        <v>20</v>
      </c>
      <c r="BO588" s="25">
        <v>20</v>
      </c>
      <c r="BP588" s="25">
        <f>BE588*AV588</f>
        <v>0</v>
      </c>
      <c r="BQ588" s="25">
        <f>BE588*AX588</f>
        <v>0</v>
      </c>
      <c r="BR588" s="26"/>
      <c r="BS588" s="32"/>
    </row>
    <row r="589" spans="1:71" s="6" customFormat="1" ht="41.25" customHeight="1">
      <c r="A589" s="18">
        <v>586</v>
      </c>
      <c r="B589" s="18" t="s">
        <v>94</v>
      </c>
      <c r="C589" s="18" t="s">
        <v>388</v>
      </c>
      <c r="D589" s="18" t="s">
        <v>96</v>
      </c>
      <c r="E589" s="22" t="s">
        <v>1241</v>
      </c>
      <c r="F589" s="58" t="s">
        <v>146</v>
      </c>
      <c r="G589" s="58" t="s">
        <v>147</v>
      </c>
      <c r="H589" s="22"/>
      <c r="I589" s="22"/>
      <c r="J589" s="22"/>
      <c r="K589" s="22"/>
      <c r="L589" s="22"/>
      <c r="M589" s="22"/>
      <c r="N589" s="22" t="s">
        <v>1243</v>
      </c>
      <c r="O589" s="23"/>
      <c r="P589" s="18" t="s">
        <v>56</v>
      </c>
      <c r="Q589" s="148">
        <v>45</v>
      </c>
      <c r="R589" s="72"/>
      <c r="S589" s="25">
        <v>20</v>
      </c>
      <c r="T589" s="26"/>
      <c r="U589" s="26"/>
      <c r="V589" s="25">
        <v>20</v>
      </c>
      <c r="W589" s="26"/>
      <c r="X589" s="25">
        <v>20</v>
      </c>
      <c r="Y589" s="53">
        <f>T589+R589+Q589+U589+W589</f>
        <v>45</v>
      </c>
      <c r="Z589" s="27">
        <v>140</v>
      </c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>
        <f>SUM(AM589:AS589)</f>
        <v>0</v>
      </c>
      <c r="AM589" s="26"/>
      <c r="AN589" s="26"/>
      <c r="AO589" s="26"/>
      <c r="AP589" s="26"/>
      <c r="AQ589" s="26"/>
      <c r="AR589" s="26"/>
      <c r="AS589" s="26"/>
      <c r="AT589" s="28"/>
      <c r="AU589" s="28"/>
      <c r="AV589" s="26"/>
      <c r="AW589" s="26"/>
      <c r="AX589" s="28"/>
      <c r="AY589" s="29">
        <f>Y589-AV589-AX589-AW589</f>
        <v>45</v>
      </c>
      <c r="AZ589" s="29"/>
      <c r="BA589" s="26">
        <f>AL589+AG589+AA589+AT589</f>
        <v>0</v>
      </c>
      <c r="BB589" s="30">
        <f>BD589+AO589+AG589</f>
        <v>0</v>
      </c>
      <c r="BC589" s="30">
        <f>BD589+AS589</f>
        <v>0</v>
      </c>
      <c r="BD589" s="30">
        <f>IF(BA589&gt;0,Y589-BA589,BA589)</f>
        <v>0</v>
      </c>
      <c r="BE589" s="31">
        <v>57</v>
      </c>
      <c r="BF589" s="30" t="s">
        <v>57</v>
      </c>
      <c r="BG589" s="31">
        <f>BE589*Q589</f>
        <v>2565</v>
      </c>
      <c r="BH589" s="31">
        <f>BE589*R589*0.4</f>
        <v>0</v>
      </c>
      <c r="BI589" s="142"/>
      <c r="BJ589" s="142"/>
      <c r="BK589" s="32">
        <f>Y589*BE589</f>
        <v>2565</v>
      </c>
      <c r="BL589" s="25">
        <v>20</v>
      </c>
      <c r="BM589" s="25">
        <v>20</v>
      </c>
      <c r="BN589" s="25">
        <v>20</v>
      </c>
      <c r="BO589" s="25">
        <v>20</v>
      </c>
      <c r="BP589" s="25">
        <f>BE589*AV589</f>
        <v>0</v>
      </c>
      <c r="BQ589" s="25">
        <f>BE589*AX589</f>
        <v>0</v>
      </c>
      <c r="BR589" s="28"/>
      <c r="BS589" s="32"/>
    </row>
    <row r="590" spans="1:71" s="6" customFormat="1" ht="41.25" customHeight="1">
      <c r="A590" s="18">
        <v>587</v>
      </c>
      <c r="B590" s="18" t="s">
        <v>58</v>
      </c>
      <c r="C590" s="33" t="s">
        <v>59</v>
      </c>
      <c r="D590" s="34" t="s">
        <v>60</v>
      </c>
      <c r="E590" s="20" t="s">
        <v>1244</v>
      </c>
      <c r="F590" s="34" t="s">
        <v>62</v>
      </c>
      <c r="G590" s="34" t="s">
        <v>128</v>
      </c>
      <c r="H590" s="22"/>
      <c r="I590" s="22"/>
      <c r="J590" s="22"/>
      <c r="K590" s="22"/>
      <c r="L590" s="20" t="s">
        <v>53</v>
      </c>
      <c r="M590" s="22"/>
      <c r="N590" s="22" t="s">
        <v>1245</v>
      </c>
      <c r="O590" s="23" t="s">
        <v>1246</v>
      </c>
      <c r="P590" s="18" t="s">
        <v>65</v>
      </c>
      <c r="Q590" s="72"/>
      <c r="R590" s="72"/>
      <c r="S590" s="35">
        <v>30</v>
      </c>
      <c r="T590" s="26"/>
      <c r="U590" s="26"/>
      <c r="V590" s="35">
        <v>30</v>
      </c>
      <c r="W590" s="154"/>
      <c r="X590" s="35">
        <v>30</v>
      </c>
      <c r="Y590" s="26">
        <f>T590+R590+Q590+U590+W590</f>
        <v>0</v>
      </c>
      <c r="Z590" s="27">
        <v>210</v>
      </c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>
        <f>SUM(AM590:AS590)</f>
        <v>0</v>
      </c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72">
        <f>Y590-AV590-AX590-AW590</f>
        <v>0</v>
      </c>
      <c r="AZ590" s="68"/>
      <c r="BA590" s="26">
        <f>AL590+AG590+AA590+AT590</f>
        <v>0</v>
      </c>
      <c r="BB590" s="30">
        <f>BD590+AO590+AG590</f>
        <v>0</v>
      </c>
      <c r="BC590" s="30">
        <f>BD590+AS590</f>
        <v>0</v>
      </c>
      <c r="BD590" s="30">
        <f>IF(BA590&gt;0,Y590-BA590,BA590)</f>
        <v>0</v>
      </c>
      <c r="BE590" s="31">
        <v>374</v>
      </c>
      <c r="BF590" s="30" t="s">
        <v>57</v>
      </c>
      <c r="BG590" s="31">
        <f>BE590*Q590</f>
        <v>0</v>
      </c>
      <c r="BH590" s="31">
        <f>BE590*R590*0.4</f>
        <v>0</v>
      </c>
      <c r="BI590" s="142"/>
      <c r="BJ590" s="142"/>
      <c r="BK590" s="32">
        <f>Y590*BE590</f>
        <v>0</v>
      </c>
      <c r="BL590" s="35">
        <v>30</v>
      </c>
      <c r="BM590" s="35">
        <v>30</v>
      </c>
      <c r="BN590" s="35">
        <v>30</v>
      </c>
      <c r="BO590" s="35">
        <v>30</v>
      </c>
      <c r="BP590" s="25">
        <f>BE590*AV590</f>
        <v>0</v>
      </c>
      <c r="BQ590" s="25">
        <f>BE590*AX590</f>
        <v>0</v>
      </c>
      <c r="BR590" s="26"/>
      <c r="BS590" s="32"/>
    </row>
    <row r="591" spans="1:71" s="6" customFormat="1" ht="41.25" customHeight="1">
      <c r="A591" s="18">
        <v>588</v>
      </c>
      <c r="B591" s="74" t="s">
        <v>94</v>
      </c>
      <c r="C591" s="44" t="s">
        <v>158</v>
      </c>
      <c r="D591" s="18" t="s">
        <v>96</v>
      </c>
      <c r="E591" s="20" t="s">
        <v>136</v>
      </c>
      <c r="F591" s="52" t="s">
        <v>123</v>
      </c>
      <c r="G591" s="52"/>
      <c r="H591" s="50"/>
      <c r="I591" s="50"/>
      <c r="J591" s="50"/>
      <c r="K591" s="50"/>
      <c r="L591" s="20" t="s">
        <v>53</v>
      </c>
      <c r="M591" s="22"/>
      <c r="N591" s="22" t="s">
        <v>1247</v>
      </c>
      <c r="O591" s="23" t="s">
        <v>1248</v>
      </c>
      <c r="P591" s="18" t="s">
        <v>56</v>
      </c>
      <c r="Q591" s="42"/>
      <c r="R591" s="26"/>
      <c r="S591" s="25"/>
      <c r="T591" s="26"/>
      <c r="U591" s="26"/>
      <c r="V591" s="25"/>
      <c r="W591" s="29">
        <v>40</v>
      </c>
      <c r="X591" s="25"/>
      <c r="Y591" s="53">
        <f>T591+R591+Q591+U591+W591</f>
        <v>40</v>
      </c>
      <c r="Z591" s="27">
        <v>200</v>
      </c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>
        <f>SUM(AM591:AS591)</f>
        <v>0</v>
      </c>
      <c r="AM591" s="26"/>
      <c r="AN591" s="26"/>
      <c r="AO591" s="26"/>
      <c r="AP591" s="26"/>
      <c r="AQ591" s="26"/>
      <c r="AR591" s="26"/>
      <c r="AS591" s="26"/>
      <c r="AT591" s="28"/>
      <c r="AU591" s="28"/>
      <c r="AV591" s="26"/>
      <c r="AW591" s="26"/>
      <c r="AX591" s="28"/>
      <c r="AY591" s="29">
        <f>Y591-AV591-AX591-AW591</f>
        <v>40</v>
      </c>
      <c r="AZ591" s="29">
        <f ca="1">'Layout for shadhous 1&amp;2'!L67</f>
        <v>20</v>
      </c>
      <c r="BA591" s="26">
        <f>AL591+AG591+AA591+AT591</f>
        <v>0</v>
      </c>
      <c r="BB591" s="30">
        <f>BD591+AO591+AG591</f>
        <v>0</v>
      </c>
      <c r="BC591" s="30">
        <f>BD591+AS591</f>
        <v>0</v>
      </c>
      <c r="BD591" s="30">
        <f>IF(BA591&gt;0,Y591-BA591,BA591)</f>
        <v>0</v>
      </c>
      <c r="BE591" s="31">
        <v>10</v>
      </c>
      <c r="BF591" s="30" t="s">
        <v>57</v>
      </c>
      <c r="BG591" s="31">
        <f>BE591*Q591</f>
        <v>0</v>
      </c>
      <c r="BH591" s="31">
        <f>BE591*R591*0.4</f>
        <v>0</v>
      </c>
      <c r="BI591" s="31"/>
      <c r="BJ591" s="31"/>
      <c r="BK591" s="32">
        <f>Y591*BE591</f>
        <v>400</v>
      </c>
      <c r="BL591" s="25">
        <v>200</v>
      </c>
      <c r="BM591" s="25"/>
      <c r="BN591" s="25"/>
      <c r="BO591" s="25"/>
      <c r="BP591" s="25">
        <f>BE591*AV591</f>
        <v>0</v>
      </c>
      <c r="BQ591" s="25">
        <f>BE591*AX591</f>
        <v>0</v>
      </c>
      <c r="BR591" s="28"/>
      <c r="BS591" s="32"/>
    </row>
    <row r="592" spans="1:71" s="6" customFormat="1" ht="41.25" customHeight="1">
      <c r="A592" s="18">
        <v>589</v>
      </c>
      <c r="B592" s="18" t="s">
        <v>87</v>
      </c>
      <c r="C592" s="65" t="s">
        <v>125</v>
      </c>
      <c r="D592" s="47" t="s">
        <v>89</v>
      </c>
      <c r="E592" s="20" t="s">
        <v>1207</v>
      </c>
      <c r="F592" s="19" t="s">
        <v>197</v>
      </c>
      <c r="G592" s="19"/>
      <c r="H592" s="22"/>
      <c r="I592" s="22" t="s">
        <v>129</v>
      </c>
      <c r="J592" s="22"/>
      <c r="K592" s="22"/>
      <c r="L592" s="20" t="s">
        <v>53</v>
      </c>
      <c r="M592" s="22"/>
      <c r="N592" s="22" t="s">
        <v>1249</v>
      </c>
      <c r="O592" s="23" t="s">
        <v>1250</v>
      </c>
      <c r="P592" s="18" t="s">
        <v>56</v>
      </c>
      <c r="Q592" s="72"/>
      <c r="R592" s="72"/>
      <c r="S592" s="25">
        <v>200</v>
      </c>
      <c r="T592" s="26"/>
      <c r="U592" s="26"/>
      <c r="V592" s="25"/>
      <c r="W592" s="26"/>
      <c r="X592" s="25"/>
      <c r="Y592" s="26">
        <f>T592+R592+Q592+U592+W592</f>
        <v>0</v>
      </c>
      <c r="Z592" s="27">
        <v>200</v>
      </c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>
        <f>SUM(AM592:AS592)</f>
        <v>0</v>
      </c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72">
        <f>Y592-AV592-AX592-AW592</f>
        <v>0</v>
      </c>
      <c r="AZ592" s="68"/>
      <c r="BA592" s="26">
        <f>AL592+AG592+AA592+AT592</f>
        <v>0</v>
      </c>
      <c r="BB592" s="30">
        <f>BD592+AO592+AG592</f>
        <v>0</v>
      </c>
      <c r="BC592" s="30">
        <f>BD592+AS592</f>
        <v>0</v>
      </c>
      <c r="BD592" s="30">
        <f>IF(BA592&gt;0,Y592-BA592,BA592)</f>
        <v>0</v>
      </c>
      <c r="BE592" s="31">
        <v>3.75</v>
      </c>
      <c r="BF592" s="30" t="s">
        <v>57</v>
      </c>
      <c r="BG592" s="31">
        <f>BE592*Q592</f>
        <v>0</v>
      </c>
      <c r="BH592" s="31">
        <f>BE592*R592*0.4</f>
        <v>0</v>
      </c>
      <c r="BI592" s="142"/>
      <c r="BJ592" s="142"/>
      <c r="BK592" s="32">
        <f>Y592*BE592</f>
        <v>0</v>
      </c>
      <c r="BL592" s="25"/>
      <c r="BM592" s="25"/>
      <c r="BN592" s="25"/>
      <c r="BO592" s="25"/>
      <c r="BP592" s="25">
        <f>BE592*AV592</f>
        <v>0</v>
      </c>
      <c r="BQ592" s="25">
        <f>BE592*AX592</f>
        <v>0</v>
      </c>
      <c r="BR592" s="28"/>
      <c r="BS592" s="32"/>
    </row>
    <row r="593" spans="1:71" s="6" customFormat="1" ht="41.25" customHeight="1">
      <c r="A593" s="18">
        <v>590</v>
      </c>
      <c r="B593" s="18" t="s">
        <v>87</v>
      </c>
      <c r="C593" s="65" t="s">
        <v>125</v>
      </c>
      <c r="D593" s="47" t="s">
        <v>89</v>
      </c>
      <c r="E593" s="20" t="s">
        <v>1251</v>
      </c>
      <c r="F593" s="19" t="s">
        <v>197</v>
      </c>
      <c r="G593" s="19"/>
      <c r="H593" s="22"/>
      <c r="I593" s="22" t="s">
        <v>129</v>
      </c>
      <c r="J593" s="22"/>
      <c r="K593" s="22"/>
      <c r="L593" s="20" t="s">
        <v>53</v>
      </c>
      <c r="M593" s="22"/>
      <c r="N593" s="22" t="s">
        <v>1252</v>
      </c>
      <c r="O593" s="23" t="s">
        <v>1253</v>
      </c>
      <c r="P593" s="18" t="s">
        <v>56</v>
      </c>
      <c r="Q593" s="72"/>
      <c r="R593" s="72"/>
      <c r="S593" s="25">
        <v>200</v>
      </c>
      <c r="T593" s="26"/>
      <c r="U593" s="26"/>
      <c r="V593" s="25"/>
      <c r="W593" s="26"/>
      <c r="X593" s="25"/>
      <c r="Y593" s="26">
        <f>T593+R593+Q593+U593+W593</f>
        <v>0</v>
      </c>
      <c r="Z593" s="27">
        <v>200</v>
      </c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>
        <f>SUM(AM593:AS593)</f>
        <v>0</v>
      </c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72">
        <f>Y593-AV593-AX593-AW593</f>
        <v>0</v>
      </c>
      <c r="AZ593" s="68"/>
      <c r="BA593" s="26">
        <f>AL593+AG593+AA593+AT593</f>
        <v>0</v>
      </c>
      <c r="BB593" s="30">
        <f>BD593+AO593+AG593</f>
        <v>0</v>
      </c>
      <c r="BC593" s="30">
        <f>BD593+AS593</f>
        <v>0</v>
      </c>
      <c r="BD593" s="30">
        <f>IF(BA593&gt;0,Y593-BA593,BA593)</f>
        <v>0</v>
      </c>
      <c r="BE593" s="31">
        <v>3.75</v>
      </c>
      <c r="BF593" s="30" t="s">
        <v>57</v>
      </c>
      <c r="BG593" s="31">
        <f>BE593*Q593</f>
        <v>0</v>
      </c>
      <c r="BH593" s="31">
        <f>BE593*R593*0.4</f>
        <v>0</v>
      </c>
      <c r="BI593" s="31"/>
      <c r="BJ593" s="31"/>
      <c r="BK593" s="32">
        <f>Y593*BE593</f>
        <v>0</v>
      </c>
      <c r="BL593" s="25"/>
      <c r="BM593" s="25"/>
      <c r="BN593" s="25"/>
      <c r="BO593" s="25"/>
      <c r="BP593" s="25">
        <f>BE593*AV593</f>
        <v>0</v>
      </c>
      <c r="BQ593" s="25">
        <f>BE593*AX593</f>
        <v>0</v>
      </c>
      <c r="BR593" s="28"/>
      <c r="BS593" s="32"/>
    </row>
    <row r="594" spans="1:71" s="6" customFormat="1" ht="41.25" customHeight="1">
      <c r="A594" s="18">
        <v>591</v>
      </c>
      <c r="B594" s="18" t="s">
        <v>94</v>
      </c>
      <c r="C594" s="18" t="s">
        <v>132</v>
      </c>
      <c r="D594" s="18" t="s">
        <v>96</v>
      </c>
      <c r="E594" s="22" t="s">
        <v>1148</v>
      </c>
      <c r="F594" s="52" t="s">
        <v>123</v>
      </c>
      <c r="G594" s="52"/>
      <c r="H594" s="22"/>
      <c r="I594" s="22"/>
      <c r="J594" s="22"/>
      <c r="K594" s="22"/>
      <c r="L594" s="22"/>
      <c r="M594" s="22"/>
      <c r="N594" s="22" t="s">
        <v>1261</v>
      </c>
      <c r="O594" s="91"/>
      <c r="P594" s="18" t="s">
        <v>56</v>
      </c>
      <c r="Q594" s="72"/>
      <c r="R594" s="72"/>
      <c r="S594" s="25">
        <v>60</v>
      </c>
      <c r="T594" s="26"/>
      <c r="U594" s="26"/>
      <c r="V594" s="25">
        <v>60</v>
      </c>
      <c r="W594" s="26"/>
      <c r="X594" s="25">
        <v>60</v>
      </c>
      <c r="Y594" s="26">
        <f>T594+R594+Q594+U594+W594</f>
        <v>0</v>
      </c>
      <c r="Z594" s="27">
        <v>420</v>
      </c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>
        <f>SUM(AM594:AS594)</f>
        <v>0</v>
      </c>
      <c r="AM594" s="26"/>
      <c r="AN594" s="26"/>
      <c r="AO594" s="26"/>
      <c r="AP594" s="26"/>
      <c r="AQ594" s="26"/>
      <c r="AR594" s="26"/>
      <c r="AS594" s="26"/>
      <c r="AT594" s="28"/>
      <c r="AU594" s="28"/>
      <c r="AV594" s="26"/>
      <c r="AW594" s="26"/>
      <c r="AX594" s="28"/>
      <c r="AY594" s="72">
        <f>Y594-AV594-AX594-AW594</f>
        <v>0</v>
      </c>
      <c r="AZ594" s="68"/>
      <c r="BA594" s="26">
        <f>AL594+AG594+AA594+AT594</f>
        <v>0</v>
      </c>
      <c r="BB594" s="30">
        <f>BD594+AO594+AG594</f>
        <v>0</v>
      </c>
      <c r="BC594" s="30">
        <f>BD594+AS594</f>
        <v>0</v>
      </c>
      <c r="BD594" s="30">
        <f>IF(BA594&gt;0,Y594-BA594,BA594)</f>
        <v>0</v>
      </c>
      <c r="BE594" s="31">
        <v>8</v>
      </c>
      <c r="BF594" s="30" t="s">
        <v>57</v>
      </c>
      <c r="BG594" s="31">
        <f>BE594*Q594</f>
        <v>0</v>
      </c>
      <c r="BH594" s="31">
        <f>BE594*R594*0.4</f>
        <v>0</v>
      </c>
      <c r="BI594" s="31"/>
      <c r="BJ594" s="31"/>
      <c r="BK594" s="32">
        <f>Y594*BE594</f>
        <v>0</v>
      </c>
      <c r="BL594" s="25">
        <v>60</v>
      </c>
      <c r="BM594" s="25">
        <v>60</v>
      </c>
      <c r="BN594" s="25">
        <v>60</v>
      </c>
      <c r="BO594" s="25">
        <v>60</v>
      </c>
      <c r="BP594" s="25">
        <f>BE594*AV594</f>
        <v>0</v>
      </c>
      <c r="BQ594" s="25">
        <f>BE594*AX594</f>
        <v>0</v>
      </c>
      <c r="BR594" s="28"/>
      <c r="BS594" s="32"/>
    </row>
    <row r="595" spans="1:71" s="6" customFormat="1" ht="41.25" customHeight="1">
      <c r="A595" s="18">
        <v>592</v>
      </c>
      <c r="B595" s="50" t="s">
        <v>66</v>
      </c>
      <c r="C595" s="18" t="s">
        <v>88</v>
      </c>
      <c r="D595" s="47" t="s">
        <v>89</v>
      </c>
      <c r="E595" s="50" t="s">
        <v>1262</v>
      </c>
      <c r="F595" s="36" t="s">
        <v>70</v>
      </c>
      <c r="G595" s="36" t="s">
        <v>70</v>
      </c>
      <c r="H595" s="50"/>
      <c r="I595" s="37" t="s">
        <v>1266</v>
      </c>
      <c r="J595" s="37"/>
      <c r="K595" s="37"/>
      <c r="L595" s="50"/>
      <c r="M595" s="22"/>
      <c r="N595" s="22" t="s">
        <v>1263</v>
      </c>
      <c r="O595" s="23" t="s">
        <v>1264</v>
      </c>
      <c r="P595" s="18" t="s">
        <v>56</v>
      </c>
      <c r="Q595" s="72"/>
      <c r="R595" s="72"/>
      <c r="S595" s="25">
        <v>50</v>
      </c>
      <c r="T595" s="26"/>
      <c r="U595" s="26"/>
      <c r="V595" s="25"/>
      <c r="W595" s="26"/>
      <c r="X595" s="25"/>
      <c r="Y595" s="26">
        <f>T595+R595+Q595+U595+W595</f>
        <v>0</v>
      </c>
      <c r="Z595" s="27">
        <v>50</v>
      </c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>
        <f>SUM(AM595:AS595)</f>
        <v>0</v>
      </c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72">
        <f>Y595-AV595-AX595-AW595</f>
        <v>0</v>
      </c>
      <c r="AZ595" s="68"/>
      <c r="BA595" s="26">
        <f>AL595+AG595+AA595+AT595</f>
        <v>0</v>
      </c>
      <c r="BB595" s="30">
        <f>BD595+AO595+AG595</f>
        <v>0</v>
      </c>
      <c r="BC595" s="30">
        <f>BD595+AS595</f>
        <v>0</v>
      </c>
      <c r="BD595" s="30">
        <f>IF(BA595&gt;0,Y595-BA595,BA595)</f>
        <v>0</v>
      </c>
      <c r="BE595" s="31">
        <v>1095</v>
      </c>
      <c r="BF595" s="30" t="s">
        <v>57</v>
      </c>
      <c r="BG595" s="31">
        <f>BE595*Q595</f>
        <v>0</v>
      </c>
      <c r="BH595" s="31">
        <f>BE595*R595*0.4</f>
        <v>0</v>
      </c>
      <c r="BI595" s="142"/>
      <c r="BJ595" s="142"/>
      <c r="BK595" s="32">
        <f>Y595*BE595</f>
        <v>0</v>
      </c>
      <c r="BL595" s="25"/>
      <c r="BM595" s="25"/>
      <c r="BN595" s="25"/>
      <c r="BO595" s="25"/>
      <c r="BP595" s="25">
        <f>BE595*AV595</f>
        <v>0</v>
      </c>
      <c r="BQ595" s="25">
        <f>BE595*AX595</f>
        <v>0</v>
      </c>
      <c r="BR595" s="26"/>
      <c r="BS595" s="32"/>
    </row>
    <row r="596" spans="1:71" s="6" customFormat="1" ht="41.25" customHeight="1">
      <c r="A596" s="18">
        <v>593</v>
      </c>
      <c r="B596" s="50" t="s">
        <v>94</v>
      </c>
      <c r="C596" s="44" t="s">
        <v>158</v>
      </c>
      <c r="D596" s="18" t="s">
        <v>96</v>
      </c>
      <c r="E596" s="55" t="s">
        <v>136</v>
      </c>
      <c r="F596" s="52" t="s">
        <v>123</v>
      </c>
      <c r="G596" s="52"/>
      <c r="H596" s="50"/>
      <c r="I596" s="50"/>
      <c r="J596" s="50"/>
      <c r="K596" s="50"/>
      <c r="L596" s="20" t="s">
        <v>53</v>
      </c>
      <c r="M596" s="22"/>
      <c r="N596" s="22" t="s">
        <v>1272</v>
      </c>
      <c r="O596" s="23" t="s">
        <v>1273</v>
      </c>
      <c r="P596" s="18" t="s">
        <v>56</v>
      </c>
      <c r="Q596" s="72"/>
      <c r="R596" s="72"/>
      <c r="S596" s="25"/>
      <c r="T596" s="26"/>
      <c r="U596" s="26"/>
      <c r="V596" s="25"/>
      <c r="W596" s="26"/>
      <c r="X596" s="25"/>
      <c r="Y596" s="26">
        <f>T596+R596+Q596+U596+W596</f>
        <v>0</v>
      </c>
      <c r="Z596" s="27">
        <v>200</v>
      </c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>
        <f>SUM(AM596:AS596)</f>
        <v>0</v>
      </c>
      <c r="AM596" s="26"/>
      <c r="AN596" s="26"/>
      <c r="AO596" s="26"/>
      <c r="AP596" s="26"/>
      <c r="AQ596" s="26"/>
      <c r="AR596" s="26"/>
      <c r="AS596" s="26"/>
      <c r="AT596" s="28"/>
      <c r="AU596" s="28"/>
      <c r="AV596" s="26"/>
      <c r="AW596" s="26"/>
      <c r="AX596" s="28"/>
      <c r="AY596" s="72">
        <f>Y596-AV596-AX596-AW596</f>
        <v>0</v>
      </c>
      <c r="AZ596" s="68"/>
      <c r="BA596" s="26">
        <f>AL596+AG596+AA596+AT596</f>
        <v>0</v>
      </c>
      <c r="BB596" s="30">
        <f>BD596+AO596+AG596</f>
        <v>0</v>
      </c>
      <c r="BC596" s="30">
        <f>BD596+AS596</f>
        <v>0</v>
      </c>
      <c r="BD596" s="30">
        <f>IF(BA596&gt;0,Y596-BA596,BA596)</f>
        <v>0</v>
      </c>
      <c r="BE596" s="31"/>
      <c r="BF596" s="30" t="s">
        <v>57</v>
      </c>
      <c r="BG596" s="31">
        <f>BE596*Q596</f>
        <v>0</v>
      </c>
      <c r="BH596" s="31">
        <f>BE596*R596*0.4</f>
        <v>0</v>
      </c>
      <c r="BI596" s="31"/>
      <c r="BJ596" s="31"/>
      <c r="BK596" s="32">
        <f>Y596*BE596</f>
        <v>0</v>
      </c>
      <c r="BL596" s="25"/>
      <c r="BM596" s="25"/>
      <c r="BN596" s="25"/>
      <c r="BO596" s="25">
        <v>200</v>
      </c>
      <c r="BP596" s="25">
        <f>BE596*AV596</f>
        <v>0</v>
      </c>
      <c r="BQ596" s="25">
        <f>BE596*AX596</f>
        <v>0</v>
      </c>
      <c r="BR596" s="28"/>
      <c r="BS596" s="32"/>
    </row>
    <row r="597" spans="1:71" ht="28.5" customHeight="1">
      <c r="Q597" s="93"/>
      <c r="R597" s="93"/>
      <c r="S597" s="32"/>
      <c r="T597" s="93"/>
      <c r="U597" s="32"/>
      <c r="V597" s="32"/>
      <c r="W597" s="93"/>
      <c r="X597" s="32"/>
      <c r="Y597" s="93"/>
      <c r="Z597" s="93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93"/>
      <c r="BF597" s="32"/>
      <c r="BK597" s="32"/>
      <c r="BL597" s="32"/>
      <c r="BM597" s="32"/>
      <c r="BN597" s="32"/>
      <c r="BO597" s="32"/>
      <c r="BP597" s="32"/>
      <c r="BQ597" s="32"/>
      <c r="BR597" s="32"/>
    </row>
    <row r="598" spans="1:71" s="6" customFormat="1" ht="20.25" customHeight="1">
      <c r="D598" s="94"/>
      <c r="I598" s="92"/>
      <c r="J598" s="92"/>
      <c r="K598" s="92"/>
      <c r="L598" s="92"/>
      <c r="M598" s="92"/>
      <c r="N598" s="95" t="s">
        <v>1274</v>
      </c>
      <c r="O598" s="96"/>
      <c r="P598" s="91"/>
      <c r="Q598" s="59"/>
      <c r="R598" s="26"/>
      <c r="S598" s="69"/>
      <c r="T598" s="98"/>
      <c r="U598" s="98"/>
      <c r="V598" s="42"/>
      <c r="W598" s="42"/>
      <c r="X598" s="99"/>
      <c r="Y598" s="155"/>
      <c r="Z598" s="68"/>
      <c r="AA598" s="99"/>
      <c r="AB598" s="99"/>
      <c r="AC598" s="99"/>
      <c r="AD598" s="99"/>
      <c r="AE598" s="99"/>
      <c r="AF598" s="99"/>
      <c r="AG598" s="68"/>
      <c r="AH598" s="68"/>
      <c r="AI598" s="68"/>
      <c r="AJ598" s="68"/>
      <c r="AK598" s="68"/>
      <c r="AL598" s="41">
        <f>SUBTOTAL(9,AN598:AV598)</f>
        <v>38</v>
      </c>
      <c r="AM598" s="41"/>
      <c r="AN598" s="42">
        <v>0</v>
      </c>
      <c r="AO598" s="42">
        <v>19</v>
      </c>
      <c r="AP598" s="42">
        <v>0</v>
      </c>
      <c r="AQ598" s="42">
        <v>0</v>
      </c>
      <c r="AR598" s="42">
        <v>0</v>
      </c>
      <c r="AS598" s="42">
        <v>19</v>
      </c>
      <c r="AT598" s="68"/>
      <c r="AU598" s="68"/>
      <c r="AV598" s="41">
        <v>0</v>
      </c>
      <c r="AW598" s="99"/>
      <c r="AX598" s="68"/>
      <c r="AY598" s="100"/>
      <c r="AZ598" s="100"/>
      <c r="BA598" s="68"/>
      <c r="BB598" s="68"/>
      <c r="BC598" s="68"/>
      <c r="BD598" s="68"/>
      <c r="BE598" s="69"/>
      <c r="BF598" s="101"/>
      <c r="BG598" s="102"/>
      <c r="BH598" s="103"/>
      <c r="BI598" s="103"/>
      <c r="BJ598" s="103"/>
      <c r="BK598" s="104"/>
      <c r="BL598" s="32"/>
      <c r="BM598" s="32"/>
      <c r="BN598" s="32"/>
      <c r="BO598" s="32"/>
      <c r="BP598" s="32"/>
      <c r="BQ598" s="32"/>
      <c r="BR598" s="68"/>
    </row>
    <row r="599" spans="1:71" s="6" customFormat="1" ht="24.75" customHeight="1">
      <c r="I599" s="92"/>
      <c r="J599" s="92"/>
      <c r="K599" s="92"/>
      <c r="L599" s="92"/>
      <c r="M599" s="92"/>
      <c r="P599" s="105"/>
      <c r="Q599" s="106"/>
      <c r="R599" s="106"/>
      <c r="S599" s="32"/>
      <c r="T599" s="93"/>
      <c r="U599" s="32"/>
      <c r="V599" s="32"/>
      <c r="W599" s="93"/>
      <c r="X599" s="32"/>
      <c r="Y599" s="93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32"/>
      <c r="AX599" s="107"/>
      <c r="AY599" s="32"/>
      <c r="AZ599" s="32"/>
      <c r="BA599" s="107"/>
      <c r="BB599" s="107"/>
      <c r="BC599" s="107"/>
      <c r="BD599" s="107"/>
      <c r="BE599" s="32"/>
      <c r="BF599" s="107"/>
      <c r="BK599" s="32"/>
      <c r="BL599" s="32"/>
      <c r="BM599" s="32"/>
      <c r="BN599" s="32"/>
      <c r="BO599" s="32"/>
      <c r="BP599" s="32"/>
      <c r="BQ599" s="32"/>
      <c r="BR599" s="107"/>
    </row>
    <row r="600" spans="1:71" s="6" customFormat="1" ht="26.25" customHeight="1">
      <c r="I600" s="92"/>
      <c r="J600" s="92"/>
      <c r="K600" s="92"/>
      <c r="P600" s="98" t="s">
        <v>1275</v>
      </c>
      <c r="Q600" s="98">
        <f>SUM(Q4:Q596)</f>
        <v>304425</v>
      </c>
      <c r="R600" s="98">
        <f>SUM(R4:R596)</f>
        <v>46859</v>
      </c>
      <c r="S600" s="98">
        <f>SUM(S4:S596)</f>
        <v>591745</v>
      </c>
      <c r="T600" s="98">
        <f>SUM(T4:T596)</f>
        <v>104618</v>
      </c>
      <c r="U600" s="98">
        <f>SUM(U4:U596)</f>
        <v>2775</v>
      </c>
      <c r="V600" s="98">
        <f>SUM(V4:V596)</f>
        <v>584611</v>
      </c>
      <c r="W600" s="98">
        <f>SUM(W4:W596)</f>
        <v>58911</v>
      </c>
      <c r="X600" s="98">
        <f>SUM(X4:X596)</f>
        <v>374234</v>
      </c>
      <c r="Y600" s="98">
        <f>SUM(Y4:Y596)</f>
        <v>517588</v>
      </c>
      <c r="Z600" s="98">
        <f>SUM(Z4:Z596)</f>
        <v>3053163</v>
      </c>
      <c r="AA600" s="98">
        <f>SUM(AA4:AA596)</f>
        <v>19767</v>
      </c>
      <c r="AB600" s="98">
        <f>SUM(AB4:AB596)</f>
        <v>4006</v>
      </c>
      <c r="AC600" s="98">
        <f>SUM(AC4:AC596)</f>
        <v>2419</v>
      </c>
      <c r="AD600" s="98"/>
      <c r="AE600" s="98"/>
      <c r="AF600" s="98"/>
      <c r="AG600" s="98">
        <f>SUM(AG4:AG596)</f>
        <v>56094</v>
      </c>
      <c r="AH600" s="98">
        <f>SUM(AH4:AH596)</f>
        <v>10896</v>
      </c>
      <c r="AI600" s="98">
        <f>SUM(AI4:AI596)</f>
        <v>41860</v>
      </c>
      <c r="AJ600" s="98">
        <f>SUM(AJ4:AJ596)</f>
        <v>826</v>
      </c>
      <c r="AK600" s="98">
        <f>SUM(AK4:AK596)</f>
        <v>2532</v>
      </c>
      <c r="AL600" s="98">
        <f>SUM(AL4:AL596)</f>
        <v>269023</v>
      </c>
      <c r="AM600" s="98">
        <f>SUM(AM4:AM596)</f>
        <v>144294</v>
      </c>
      <c r="AN600" s="98">
        <f>SUM(AN4:AN596)</f>
        <v>46400</v>
      </c>
      <c r="AO600" s="98">
        <f>SUM(AO4:AO596)</f>
        <v>78329</v>
      </c>
      <c r="AP600" s="98">
        <f>SUM(AP4:AP596)</f>
        <v>0</v>
      </c>
      <c r="AQ600" s="98">
        <f>SUM(AQ4:AQ596)</f>
        <v>0</v>
      </c>
      <c r="AR600" s="98">
        <f>SUM(AR4:AR596)</f>
        <v>0</v>
      </c>
      <c r="AS600" s="98">
        <f>SUM(AS4:AS596)</f>
        <v>0</v>
      </c>
      <c r="AT600" s="98">
        <f>SUM(AT4:AT596)</f>
        <v>19914</v>
      </c>
      <c r="AU600" s="98">
        <f>SUM(AU4:AU596)</f>
        <v>7591</v>
      </c>
      <c r="AV600" s="98">
        <f>SUM(AV4:AV596)</f>
        <v>134370</v>
      </c>
      <c r="AW600" s="98">
        <f>SUM(AW4:AW596)</f>
        <v>15400</v>
      </c>
      <c r="AX600" s="98">
        <f>SUM(AX4:AX596)</f>
        <v>16679</v>
      </c>
      <c r="AY600" s="98">
        <f>SUM(AY4:AY596)</f>
        <v>351139</v>
      </c>
      <c r="AZ600" s="98">
        <f ca="1">SUM(AZ4:AZ596)</f>
        <v>338609</v>
      </c>
      <c r="BA600" s="98">
        <f>SUM(BA4:BA596)</f>
        <v>364798</v>
      </c>
      <c r="BB600" s="98">
        <f>SUM(BB4:BB596)</f>
        <v>239602</v>
      </c>
      <c r="BC600" s="98">
        <f ca="1">SUM(BC4:BC596)</f>
        <v>105179</v>
      </c>
      <c r="BD600" s="98">
        <f>SUM(BD4:BD596)</f>
        <v>105179</v>
      </c>
      <c r="BE600" s="98"/>
      <c r="BF600" s="98">
        <f>SUM(BF4:BF596)</f>
        <v>0</v>
      </c>
      <c r="BG600" s="98">
        <f>SUM(BG4:BG596)</f>
        <v>4437028</v>
      </c>
      <c r="BH600" s="98">
        <f>SUM(BH4:BH596)</f>
        <v>307879.59999999998</v>
      </c>
      <c r="BI600" s="98">
        <f>SUM(BI4:BI596)</f>
        <v>1083115</v>
      </c>
      <c r="BJ600" s="98">
        <f>SUM(BJ4:BJ596)</f>
        <v>43985.599999999999</v>
      </c>
      <c r="BK600" s="98">
        <f>SUM(BK4:BK596)</f>
        <v>7584878</v>
      </c>
      <c r="BL600" s="98">
        <f>SUM(BL4:BL596)</f>
        <v>374282</v>
      </c>
      <c r="BM600" s="98">
        <f>SUM(BM4:BM596)</f>
        <v>373881</v>
      </c>
      <c r="BN600" s="98">
        <f>SUM(BN4:BN596)</f>
        <v>374081</v>
      </c>
      <c r="BO600" s="98">
        <f>SUM(BO4:BO596)</f>
        <v>376942</v>
      </c>
      <c r="BP600" s="98">
        <f>SUM(BP4:BP596)</f>
        <v>1527822</v>
      </c>
      <c r="BQ600" s="98">
        <f>SUM(BQ4:BQ596)</f>
        <v>152325</v>
      </c>
      <c r="BR600" s="98">
        <f>SUM(BR4:BR596)</f>
        <v>9961</v>
      </c>
    </row>
    <row r="601" spans="1:71" s="6" customFormat="1" ht="23.25" customHeight="1">
      <c r="I601" s="92"/>
      <c r="J601" s="92"/>
      <c r="K601" s="92"/>
      <c r="Q601" s="152"/>
      <c r="R601" s="93"/>
      <c r="S601" s="32"/>
      <c r="T601" s="93"/>
      <c r="U601" s="32"/>
      <c r="V601" s="32"/>
      <c r="W601" s="93"/>
      <c r="X601" s="32"/>
      <c r="Y601" s="93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</row>
    <row r="602" spans="1:71" s="6" customFormat="1" ht="23.25" customHeight="1">
      <c r="I602" s="92"/>
      <c r="J602" s="92"/>
      <c r="N602" s="99" t="s">
        <v>1276</v>
      </c>
      <c r="O602" s="99">
        <f>BG602+BH602</f>
        <v>4744907.5999999996</v>
      </c>
      <c r="P602" s="6" t="s">
        <v>1346</v>
      </c>
      <c r="Q602" s="93">
        <f>SUBTOTAL(9,Q4:Q596)</f>
        <v>304425</v>
      </c>
      <c r="R602" s="93">
        <f>SUBTOTAL(9,R4:R596)</f>
        <v>46859</v>
      </c>
      <c r="S602" s="32">
        <f>SUBTOTAL(9,S4:S596)</f>
        <v>591745</v>
      </c>
      <c r="T602" s="93">
        <f>SUBTOTAL(9,T4:T596)</f>
        <v>104618</v>
      </c>
      <c r="U602" s="32">
        <f>SUBTOTAL(9,U4:U596)</f>
        <v>2775</v>
      </c>
      <c r="V602" s="32">
        <f>SUBTOTAL(9,V4:V596)</f>
        <v>584611</v>
      </c>
      <c r="W602" s="93">
        <f>SUBTOTAL(9,W4:W596)</f>
        <v>58911</v>
      </c>
      <c r="X602" s="32">
        <f>SUBTOTAL(9,X4:X596)</f>
        <v>374234</v>
      </c>
      <c r="Y602" s="93">
        <f>SUBTOTAL(9,Y4:Y596)</f>
        <v>517588</v>
      </c>
      <c r="Z602" s="32">
        <f>SUBTOTAL(9,Z4:Z596)</f>
        <v>3053163</v>
      </c>
      <c r="AA602" s="32">
        <f>SUBTOTAL(9,AA4:AA596)</f>
        <v>0</v>
      </c>
      <c r="AB602" s="32">
        <f>SUBTOTAL(9,AB4:AB596)</f>
        <v>4006</v>
      </c>
      <c r="AC602" s="32">
        <f>SUBTOTAL(9,AC4:AC596)</f>
        <v>2419</v>
      </c>
      <c r="AD602" s="32"/>
      <c r="AE602" s="32"/>
      <c r="AF602" s="32"/>
      <c r="AG602" s="32">
        <f>SUBTOTAL(9,AG4:AG596)</f>
        <v>1489</v>
      </c>
      <c r="AH602" s="32">
        <f>SUBTOTAL(9,AH4:AH596)</f>
        <v>10896</v>
      </c>
      <c r="AI602" s="32">
        <f>SUBTOTAL(9,AI4:AI596)</f>
        <v>41860</v>
      </c>
      <c r="AJ602" s="32">
        <f>SUBTOTAL(9,AJ4:AJ596)</f>
        <v>826</v>
      </c>
      <c r="AK602" s="32">
        <f>SUBTOTAL(9,AK4:AK596)</f>
        <v>2532</v>
      </c>
      <c r="AL602" s="32">
        <f>SUBTOTAL(9,AL4:AL596)</f>
        <v>269023</v>
      </c>
      <c r="AM602" s="32"/>
      <c r="AN602" s="32">
        <f>SUBTOTAL(9,AN4:AN596)</f>
        <v>46400</v>
      </c>
      <c r="AO602" s="32">
        <f>SUBTOTAL(9,AO4:AO596)</f>
        <v>78329</v>
      </c>
      <c r="AP602" s="32">
        <f>SUBTOTAL(9,AP4:AP596)</f>
        <v>0</v>
      </c>
      <c r="AQ602" s="32">
        <f>SUBTOTAL(9,AQ4:AQ596)</f>
        <v>0</v>
      </c>
      <c r="AR602" s="32">
        <f>SUBTOTAL(9,AR4:AR596)</f>
        <v>0</v>
      </c>
      <c r="AS602" s="32">
        <f>SUBTOTAL(9,AS4:AS596)</f>
        <v>0</v>
      </c>
      <c r="AT602" s="32">
        <f>SUBTOTAL(9,AT4:AT596)</f>
        <v>19914</v>
      </c>
      <c r="AU602" s="32">
        <f>SUBTOTAL(9,AU4:AU596)</f>
        <v>7591</v>
      </c>
      <c r="AV602" s="32">
        <f>SUBTOTAL(9,AV4:AV596)</f>
        <v>134370</v>
      </c>
      <c r="AW602" s="32">
        <f>SUBTOTAL(9,AW4:AW596)</f>
        <v>15400</v>
      </c>
      <c r="AX602" s="32">
        <f>SUBTOTAL(9,AX4:AX596)</f>
        <v>16679</v>
      </c>
      <c r="AY602" s="32">
        <f>SUBTOTAL(9,AY4:AY596)</f>
        <v>351139</v>
      </c>
      <c r="AZ602" s="32">
        <f ca="1">SUBTOTAL(9,AZ4:AZ596)</f>
        <v>338609</v>
      </c>
      <c r="BA602" s="32">
        <f>SUBTOTAL(9,BA4:BA596)</f>
        <v>364798</v>
      </c>
      <c r="BB602" s="32">
        <f>SUBTOTAL(9,BB4:BB596)</f>
        <v>239602</v>
      </c>
      <c r="BC602" s="32">
        <f ca="1">SUBTOTAL(9,BC4:BC596)</f>
        <v>105179</v>
      </c>
      <c r="BD602" s="32">
        <f>SUBTOTAL(9,BD4:BD596)</f>
        <v>105179</v>
      </c>
      <c r="BE602" s="32"/>
      <c r="BF602" s="32">
        <f>SUBTOTAL(9,BF4:BF596)</f>
        <v>0</v>
      </c>
      <c r="BG602" s="32">
        <f>SUBTOTAL(9,BG4:BG596)</f>
        <v>4437028</v>
      </c>
      <c r="BH602" s="32">
        <f>SUBTOTAL(9,BH4:BH596)</f>
        <v>307879.59999999998</v>
      </c>
      <c r="BI602" s="32"/>
      <c r="BJ602" s="32"/>
      <c r="BK602" s="32">
        <f>SUBTOTAL(9,BK4:BK596)</f>
        <v>7584878</v>
      </c>
      <c r="BL602" s="32">
        <f>SUBTOTAL(9,BL4:BL596)</f>
        <v>374282</v>
      </c>
      <c r="BM602" s="32">
        <f>SUBTOTAL(9,BM4:BM596)</f>
        <v>373881</v>
      </c>
      <c r="BN602" s="32">
        <f>SUBTOTAL(9,BN4:BN596)</f>
        <v>374081</v>
      </c>
      <c r="BO602" s="32">
        <f>SUBTOTAL(9,BO4:BO596)</f>
        <v>376942</v>
      </c>
      <c r="BP602" s="32">
        <f>SUBTOTAL(9,BP4:BP596)</f>
        <v>1527822</v>
      </c>
      <c r="BQ602" s="32">
        <f>SUBTOTAL(9,BQ4:BQ596)</f>
        <v>152325</v>
      </c>
      <c r="BR602" s="32">
        <f>SUBTOTAL(9,BR4:BR596)</f>
        <v>9961</v>
      </c>
    </row>
    <row r="603" spans="1:71" ht="23.25" customHeight="1">
      <c r="B603" s="6"/>
      <c r="C603" s="6"/>
      <c r="D603" s="6"/>
      <c r="E603" s="6"/>
      <c r="F603" s="6"/>
      <c r="G603" s="6"/>
      <c r="H603" s="6"/>
      <c r="M603" s="6"/>
      <c r="N603" s="99" t="s">
        <v>1277</v>
      </c>
      <c r="O603" s="99">
        <f>BG603+BH603</f>
        <v>0</v>
      </c>
      <c r="P603" s="6" t="s">
        <v>1347</v>
      </c>
      <c r="Q603" s="93">
        <f t="shared" ref="Q603:AC603" si="0">Q600-Q602</f>
        <v>0</v>
      </c>
      <c r="R603" s="93">
        <f t="shared" si="0"/>
        <v>0</v>
      </c>
      <c r="S603" s="32">
        <f t="shared" si="0"/>
        <v>0</v>
      </c>
      <c r="T603" s="93">
        <f t="shared" si="0"/>
        <v>0</v>
      </c>
      <c r="U603" s="32">
        <f t="shared" si="0"/>
        <v>0</v>
      </c>
      <c r="V603" s="32">
        <f t="shared" si="0"/>
        <v>0</v>
      </c>
      <c r="W603" s="93">
        <f t="shared" si="0"/>
        <v>0</v>
      </c>
      <c r="X603" s="32">
        <f t="shared" si="0"/>
        <v>0</v>
      </c>
      <c r="Y603" s="93">
        <f t="shared" si="0"/>
        <v>0</v>
      </c>
      <c r="Z603" s="32">
        <f t="shared" si="0"/>
        <v>0</v>
      </c>
      <c r="AA603" s="32">
        <f t="shared" si="0"/>
        <v>19767</v>
      </c>
      <c r="AB603" s="32">
        <f t="shared" si="0"/>
        <v>0</v>
      </c>
      <c r="AC603" s="32">
        <f t="shared" si="0"/>
        <v>0</v>
      </c>
      <c r="AD603" s="32"/>
      <c r="AE603" s="32"/>
      <c r="AF603" s="32"/>
      <c r="AG603" s="32">
        <f t="shared" ref="AG603:BB603" si="1">AG600-AG602</f>
        <v>54605</v>
      </c>
      <c r="AH603" s="32">
        <f t="shared" si="1"/>
        <v>0</v>
      </c>
      <c r="AI603" s="32">
        <f t="shared" si="1"/>
        <v>0</v>
      </c>
      <c r="AJ603" s="32">
        <f t="shared" si="1"/>
        <v>0</v>
      </c>
      <c r="AK603" s="32">
        <f t="shared" si="1"/>
        <v>0</v>
      </c>
      <c r="AL603" s="32">
        <f t="shared" si="1"/>
        <v>0</v>
      </c>
      <c r="AM603" s="32"/>
      <c r="AN603" s="32">
        <f t="shared" si="1"/>
        <v>0</v>
      </c>
      <c r="AO603" s="32">
        <f t="shared" si="1"/>
        <v>0</v>
      </c>
      <c r="AP603" s="32">
        <f t="shared" si="1"/>
        <v>0</v>
      </c>
      <c r="AQ603" s="32">
        <f t="shared" si="1"/>
        <v>0</v>
      </c>
      <c r="AR603" s="32">
        <f t="shared" si="1"/>
        <v>0</v>
      </c>
      <c r="AS603" s="32">
        <f t="shared" si="1"/>
        <v>0</v>
      </c>
      <c r="AT603" s="32">
        <f t="shared" ref="AT603:AU603" si="2">AT600-AT602</f>
        <v>0</v>
      </c>
      <c r="AU603" s="32">
        <f t="shared" si="2"/>
        <v>0</v>
      </c>
      <c r="AV603" s="32">
        <f t="shared" si="1"/>
        <v>0</v>
      </c>
      <c r="AW603" s="32">
        <f t="shared" si="1"/>
        <v>0</v>
      </c>
      <c r="AX603" s="32">
        <f t="shared" si="1"/>
        <v>0</v>
      </c>
      <c r="AY603" s="32">
        <f t="shared" si="1"/>
        <v>0</v>
      </c>
      <c r="AZ603" s="32">
        <f t="shared" ca="1" si="1"/>
        <v>0</v>
      </c>
      <c r="BA603" s="32">
        <f t="shared" si="1"/>
        <v>0</v>
      </c>
      <c r="BB603" s="32">
        <f t="shared" si="1"/>
        <v>0</v>
      </c>
      <c r="BC603" s="32">
        <f ca="1">BC600-BC602</f>
        <v>0</v>
      </c>
      <c r="BD603" s="32">
        <f>BD600-BD602</f>
        <v>0</v>
      </c>
      <c r="BE603" s="32"/>
      <c r="BF603" s="32">
        <f>BF600-BF602</f>
        <v>0</v>
      </c>
      <c r="BG603" s="32">
        <f>BG600-BG602</f>
        <v>0</v>
      </c>
      <c r="BH603" s="32">
        <f>BH600-BH602</f>
        <v>0</v>
      </c>
      <c r="BI603" s="32"/>
      <c r="BJ603" s="32"/>
      <c r="BK603" s="32">
        <f t="shared" ref="BK603:BR603" si="3">BK600-BK602</f>
        <v>0</v>
      </c>
      <c r="BL603" s="32">
        <f t="shared" si="3"/>
        <v>0</v>
      </c>
      <c r="BM603" s="32">
        <f t="shared" si="3"/>
        <v>0</v>
      </c>
      <c r="BN603" s="32">
        <f t="shared" si="3"/>
        <v>0</v>
      </c>
      <c r="BO603" s="32">
        <f t="shared" si="3"/>
        <v>0</v>
      </c>
      <c r="BP603" s="32">
        <f t="shared" si="3"/>
        <v>0</v>
      </c>
      <c r="BQ603" s="32">
        <f t="shared" si="3"/>
        <v>0</v>
      </c>
      <c r="BR603" s="32">
        <f t="shared" si="3"/>
        <v>0</v>
      </c>
    </row>
    <row r="604" spans="1:71" ht="23.25" customHeight="1">
      <c r="A604" s="97"/>
      <c r="B604" s="97"/>
      <c r="C604" s="6"/>
      <c r="D604" s="6"/>
      <c r="E604" s="6"/>
      <c r="F604" s="6"/>
      <c r="G604" s="6"/>
      <c r="H604" s="6"/>
      <c r="M604" s="6"/>
      <c r="N604" s="99" t="s">
        <v>1278</v>
      </c>
      <c r="O604" s="99">
        <f>O602+O603</f>
        <v>4744907.5999999996</v>
      </c>
      <c r="P604" s="6" t="s">
        <v>1348</v>
      </c>
      <c r="Q604" s="93">
        <f t="shared" ref="Q604:AC604" si="4">Q602+Q603</f>
        <v>304425</v>
      </c>
      <c r="R604" s="93">
        <f t="shared" si="4"/>
        <v>46859</v>
      </c>
      <c r="S604" s="32">
        <f t="shared" si="4"/>
        <v>591745</v>
      </c>
      <c r="T604" s="93">
        <f t="shared" si="4"/>
        <v>104618</v>
      </c>
      <c r="U604" s="32">
        <f t="shared" si="4"/>
        <v>2775</v>
      </c>
      <c r="V604" s="32">
        <f t="shared" si="4"/>
        <v>584611</v>
      </c>
      <c r="W604" s="93">
        <f t="shared" si="4"/>
        <v>58911</v>
      </c>
      <c r="X604" s="32">
        <f t="shared" si="4"/>
        <v>374234</v>
      </c>
      <c r="Y604" s="108">
        <f t="shared" si="4"/>
        <v>517588</v>
      </c>
      <c r="Z604" s="32">
        <f t="shared" si="4"/>
        <v>3053163</v>
      </c>
      <c r="AA604" s="32">
        <f t="shared" si="4"/>
        <v>19767</v>
      </c>
      <c r="AB604" s="32">
        <f t="shared" si="4"/>
        <v>4006</v>
      </c>
      <c r="AC604" s="32">
        <f t="shared" si="4"/>
        <v>2419</v>
      </c>
      <c r="AD604" s="32"/>
      <c r="AE604" s="32"/>
      <c r="AF604" s="32"/>
      <c r="AG604" s="32">
        <f t="shared" ref="AG604:BB604" si="5">AG602+AG603</f>
        <v>56094</v>
      </c>
      <c r="AH604" s="32">
        <f t="shared" si="5"/>
        <v>10896</v>
      </c>
      <c r="AI604" s="32">
        <f t="shared" si="5"/>
        <v>41860</v>
      </c>
      <c r="AJ604" s="32">
        <f t="shared" si="5"/>
        <v>826</v>
      </c>
      <c r="AK604" s="32">
        <f t="shared" si="5"/>
        <v>2532</v>
      </c>
      <c r="AL604" s="32">
        <f t="shared" si="5"/>
        <v>269023</v>
      </c>
      <c r="AM604" s="32"/>
      <c r="AN604" s="32">
        <f t="shared" si="5"/>
        <v>46400</v>
      </c>
      <c r="AO604" s="32">
        <f t="shared" si="5"/>
        <v>78329</v>
      </c>
      <c r="AP604" s="32">
        <f t="shared" si="5"/>
        <v>0</v>
      </c>
      <c r="AQ604" s="32">
        <f t="shared" si="5"/>
        <v>0</v>
      </c>
      <c r="AR604" s="32">
        <f t="shared" si="5"/>
        <v>0</v>
      </c>
      <c r="AS604" s="32">
        <f t="shared" si="5"/>
        <v>0</v>
      </c>
      <c r="AT604" s="32">
        <f t="shared" ref="AT604:AU604" si="6">AT602+AT603</f>
        <v>19914</v>
      </c>
      <c r="AU604" s="32">
        <f t="shared" si="6"/>
        <v>7591</v>
      </c>
      <c r="AV604" s="32">
        <f t="shared" si="5"/>
        <v>134370</v>
      </c>
      <c r="AW604" s="32">
        <f t="shared" si="5"/>
        <v>15400</v>
      </c>
      <c r="AX604" s="32">
        <f t="shared" si="5"/>
        <v>16679</v>
      </c>
      <c r="AY604" s="108">
        <f t="shared" si="5"/>
        <v>351139</v>
      </c>
      <c r="AZ604" s="98">
        <f t="shared" ca="1" si="5"/>
        <v>338609</v>
      </c>
      <c r="BA604" s="32">
        <f t="shared" si="5"/>
        <v>364798</v>
      </c>
      <c r="BB604" s="32">
        <f t="shared" si="5"/>
        <v>239602</v>
      </c>
      <c r="BC604" s="32">
        <f ca="1">BC602+BC603</f>
        <v>105179</v>
      </c>
      <c r="BD604" s="32">
        <f>BD602+BD603</f>
        <v>105179</v>
      </c>
      <c r="BE604" s="32"/>
      <c r="BF604" s="32">
        <f>BF602+BF603</f>
        <v>0</v>
      </c>
      <c r="BG604" s="32">
        <f>BG602+BG603</f>
        <v>4437028</v>
      </c>
      <c r="BH604" s="32">
        <f>BH602+BH603</f>
        <v>307879.59999999998</v>
      </c>
      <c r="BI604" s="32"/>
      <c r="BJ604" s="32"/>
      <c r="BK604" s="32">
        <f t="shared" ref="BK604:BR604" si="7">BK602+BK603</f>
        <v>7584878</v>
      </c>
      <c r="BL604" s="32">
        <f t="shared" si="7"/>
        <v>374282</v>
      </c>
      <c r="BM604" s="32">
        <f t="shared" si="7"/>
        <v>373881</v>
      </c>
      <c r="BN604" s="32">
        <f t="shared" si="7"/>
        <v>374081</v>
      </c>
      <c r="BO604" s="32">
        <f t="shared" si="7"/>
        <v>376942</v>
      </c>
      <c r="BP604" s="32">
        <f t="shared" si="7"/>
        <v>1527822</v>
      </c>
      <c r="BQ604" s="32">
        <f t="shared" si="7"/>
        <v>152325</v>
      </c>
      <c r="BR604" s="32">
        <f t="shared" si="7"/>
        <v>9961</v>
      </c>
    </row>
    <row r="605" spans="1:71" ht="23.25" customHeight="1">
      <c r="A605" s="97"/>
      <c r="B605" s="97"/>
      <c r="C605" s="97"/>
      <c r="D605" s="6"/>
      <c r="E605" s="6"/>
      <c r="F605" s="6"/>
      <c r="G605" s="6"/>
      <c r="H605" s="6"/>
      <c r="M605" s="6"/>
      <c r="N605" s="99" t="s">
        <v>1279</v>
      </c>
      <c r="O605" s="99">
        <v>4090129.3</v>
      </c>
      <c r="Q605" s="98">
        <f>Q604+R604</f>
        <v>351284</v>
      </c>
      <c r="R605" s="93"/>
      <c r="S605" s="32"/>
      <c r="T605" s="93"/>
      <c r="U605" s="32"/>
      <c r="V605" s="32"/>
      <c r="W605" s="93"/>
      <c r="X605" s="32"/>
      <c r="Y605" s="93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108">
        <f>AV604+AW604+AX604</f>
        <v>166449</v>
      </c>
      <c r="AW605" s="32"/>
      <c r="AX605" s="32"/>
      <c r="AY605" s="32">
        <f>Y604-AV605</f>
        <v>351139</v>
      </c>
      <c r="AZ605" s="32"/>
      <c r="BA605" s="32"/>
      <c r="BB605" s="32"/>
      <c r="BC605" s="32"/>
      <c r="BD605" s="32"/>
      <c r="BE605" s="32"/>
      <c r="BF605" s="32"/>
      <c r="BG605" s="109"/>
      <c r="BK605" s="32"/>
      <c r="BL605" s="32"/>
      <c r="BM605" s="32"/>
      <c r="BN605" s="32"/>
      <c r="BO605" s="32"/>
      <c r="BP605" s="32"/>
      <c r="BQ605" s="32"/>
      <c r="BR605" s="32"/>
    </row>
    <row r="606" spans="1:71" ht="23.25" customHeight="1">
      <c r="A606" s="97"/>
      <c r="B606" s="97"/>
      <c r="C606" s="97"/>
      <c r="D606" s="6"/>
      <c r="E606" s="6"/>
      <c r="F606" s="6"/>
      <c r="G606" s="6"/>
      <c r="H606" s="6"/>
      <c r="M606" s="6"/>
      <c r="N606" s="99" t="s">
        <v>1280</v>
      </c>
      <c r="O606" s="110">
        <f>O604-O605</f>
        <v>654778.29999999981</v>
      </c>
      <c r="Q606" s="93"/>
      <c r="R606" s="93"/>
      <c r="S606" s="32"/>
      <c r="T606" s="93"/>
      <c r="U606" s="32"/>
      <c r="V606" s="93"/>
      <c r="W606" s="93"/>
      <c r="X606" s="32"/>
      <c r="Y606" s="93"/>
      <c r="Z606" s="93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>
        <f ca="1">AZ607-AY604</f>
        <v>-10384</v>
      </c>
      <c r="AZ606" s="109">
        <f ca="1">AZ607-AZ604</f>
        <v>2146</v>
      </c>
      <c r="BA606" s="32"/>
      <c r="BB606" s="32"/>
      <c r="BC606" s="32"/>
      <c r="BD606" s="32"/>
      <c r="BE606" s="32"/>
      <c r="BF606" s="32"/>
      <c r="BG606" s="109"/>
      <c r="BH606" s="109"/>
      <c r="BI606" s="109"/>
      <c r="BJ606" s="109"/>
      <c r="BK606" s="32"/>
      <c r="BL606" s="32"/>
      <c r="BM606" s="32"/>
      <c r="BN606" s="32"/>
      <c r="BO606" s="32"/>
      <c r="BP606" s="32"/>
      <c r="BQ606" s="32"/>
      <c r="BR606" s="32"/>
    </row>
    <row r="607" spans="1:71" ht="23.25" customHeight="1">
      <c r="A607" s="97"/>
      <c r="B607" s="97"/>
      <c r="C607" s="97"/>
      <c r="D607" s="6"/>
      <c r="E607" s="6"/>
      <c r="F607" s="6"/>
      <c r="G607" s="6"/>
      <c r="H607" s="6"/>
      <c r="L607" s="6"/>
      <c r="M607" s="6"/>
      <c r="N607" s="6"/>
      <c r="Q607" s="93"/>
      <c r="R607" s="93"/>
      <c r="S607" s="32"/>
      <c r="T607" s="93"/>
      <c r="U607" s="32"/>
      <c r="V607" s="32"/>
      <c r="W607" s="93"/>
      <c r="X607" s="32"/>
      <c r="Y607" s="93"/>
      <c r="Z607" s="93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141">
        <f ca="1">'Layout for shadhous 1&amp;2'!M50+'Layout for trees left'!B20+'Layout for trees right'!D20+'Layout for shadhous 3'!R58</f>
        <v>340755</v>
      </c>
      <c r="BA607" s="32"/>
      <c r="BB607" s="32"/>
      <c r="BC607" s="32"/>
      <c r="BD607" s="32"/>
      <c r="BE607" s="32"/>
      <c r="BF607" s="32"/>
      <c r="BG607" s="109"/>
      <c r="BK607" s="32"/>
      <c r="BL607" s="32"/>
      <c r="BM607" s="32"/>
      <c r="BN607" s="32"/>
      <c r="BO607" s="32"/>
      <c r="BP607" s="32"/>
      <c r="BQ607" s="32"/>
      <c r="BR607" s="32"/>
    </row>
    <row r="608" spans="1:71" ht="28.5" customHeight="1">
      <c r="Q608" s="93"/>
      <c r="R608" s="93"/>
      <c r="S608" s="32"/>
      <c r="T608" s="93"/>
      <c r="U608" s="32"/>
      <c r="V608" s="32"/>
      <c r="W608" s="93"/>
      <c r="X608" s="32"/>
      <c r="Y608" s="93"/>
      <c r="Z608" s="93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93"/>
      <c r="BF608" s="32"/>
      <c r="BK608" s="32"/>
      <c r="BL608" s="32"/>
      <c r="BM608" s="32"/>
      <c r="BN608" s="32"/>
      <c r="BO608" s="32"/>
      <c r="BP608" s="32"/>
      <c r="BQ608" s="32"/>
      <c r="BR608" s="32"/>
    </row>
    <row r="609" spans="8:70" ht="28.5" customHeight="1">
      <c r="H609"/>
      <c r="I609"/>
      <c r="J609"/>
      <c r="K609"/>
      <c r="L609"/>
      <c r="M609"/>
      <c r="N609"/>
      <c r="O609"/>
      <c r="Q609" s="93"/>
      <c r="R609" s="93"/>
      <c r="S609" s="32"/>
      <c r="T609" s="93"/>
      <c r="U609" s="32"/>
      <c r="V609" s="32"/>
      <c r="W609" s="93"/>
      <c r="X609" s="32"/>
      <c r="Y609" s="93"/>
      <c r="Z609" s="93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93"/>
      <c r="BF609" s="32"/>
      <c r="BK609" s="32"/>
      <c r="BL609" s="32"/>
      <c r="BM609" s="32"/>
      <c r="BN609" s="32"/>
      <c r="BO609" s="32"/>
      <c r="BP609" s="32"/>
      <c r="BQ609" s="32"/>
      <c r="BR609" s="32"/>
    </row>
    <row r="610" spans="8:70" ht="28.5" customHeight="1">
      <c r="H610"/>
      <c r="I610"/>
      <c r="J610"/>
      <c r="K610"/>
      <c r="L610"/>
      <c r="M610"/>
      <c r="N610"/>
      <c r="O610"/>
      <c r="Q610" s="93"/>
      <c r="R610" s="93"/>
      <c r="S610" s="32"/>
      <c r="T610" s="93"/>
      <c r="U610" s="32"/>
      <c r="V610" s="32"/>
      <c r="W610" s="93"/>
      <c r="X610" s="32"/>
      <c r="Y610" s="93"/>
      <c r="Z610" s="93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93"/>
      <c r="BF610" s="32"/>
      <c r="BK610" s="32"/>
      <c r="BL610" s="32"/>
      <c r="BM610" s="32"/>
      <c r="BN610" s="32"/>
      <c r="BO610" s="32"/>
      <c r="BP610" s="32"/>
      <c r="BQ610" s="32"/>
      <c r="BR610" s="32"/>
    </row>
    <row r="611" spans="8:70" ht="28.5" customHeight="1">
      <c r="H611"/>
      <c r="I611"/>
      <c r="J611"/>
      <c r="K611"/>
      <c r="L611"/>
      <c r="M611"/>
      <c r="N611"/>
      <c r="O611"/>
      <c r="Q611" s="93"/>
      <c r="R611" s="93"/>
      <c r="S611" s="32"/>
      <c r="T611" s="93"/>
      <c r="U611" s="32"/>
      <c r="V611" s="32"/>
      <c r="W611" s="93"/>
      <c r="X611" s="32"/>
      <c r="Y611" s="93"/>
      <c r="Z611" s="93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93"/>
      <c r="BF611" s="32"/>
      <c r="BK611" s="32"/>
      <c r="BL611" s="32"/>
      <c r="BM611" s="32"/>
      <c r="BN611" s="32"/>
      <c r="BO611" s="32"/>
      <c r="BP611" s="32"/>
      <c r="BQ611" s="32"/>
      <c r="BR611" s="32"/>
    </row>
    <row r="612" spans="8:70" ht="28.5" customHeight="1">
      <c r="H612"/>
      <c r="I612"/>
      <c r="J612"/>
      <c r="K612"/>
      <c r="L612"/>
      <c r="M612"/>
      <c r="N612"/>
      <c r="O612"/>
      <c r="Q612" s="93"/>
      <c r="R612" s="93"/>
      <c r="S612" s="32"/>
      <c r="T612" s="93"/>
      <c r="U612" s="32"/>
      <c r="V612" s="32"/>
      <c r="W612" s="93"/>
      <c r="X612" s="32"/>
      <c r="Y612" s="93"/>
      <c r="Z612" s="93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93"/>
      <c r="BF612" s="32"/>
      <c r="BK612" s="32"/>
      <c r="BL612" s="32"/>
      <c r="BM612" s="32"/>
      <c r="BN612" s="32"/>
      <c r="BO612" s="32"/>
      <c r="BP612" s="32"/>
      <c r="BQ612" s="32"/>
      <c r="BR612" s="32"/>
    </row>
    <row r="613" spans="8:70" ht="28.5" customHeight="1">
      <c r="H613"/>
      <c r="I613"/>
      <c r="J613"/>
      <c r="K613"/>
      <c r="L613"/>
      <c r="M613"/>
      <c r="N613"/>
      <c r="O613"/>
      <c r="Q613" s="93"/>
      <c r="R613" s="93"/>
      <c r="S613" s="32"/>
      <c r="T613" s="93"/>
      <c r="U613" s="32"/>
      <c r="V613" s="32"/>
      <c r="W613" s="93"/>
      <c r="X613" s="32"/>
      <c r="Y613" s="93"/>
      <c r="Z613" s="93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93"/>
      <c r="BF613" s="32"/>
      <c r="BK613" s="32"/>
      <c r="BL613" s="32"/>
      <c r="BM613" s="32"/>
      <c r="BN613" s="32"/>
      <c r="BO613" s="32"/>
      <c r="BP613" s="32"/>
      <c r="BQ613" s="32"/>
      <c r="BR613" s="32"/>
    </row>
    <row r="614" spans="8:70" ht="28.5" customHeight="1">
      <c r="H614"/>
      <c r="I614"/>
      <c r="J614"/>
      <c r="K614"/>
      <c r="L614"/>
      <c r="M614"/>
      <c r="N614"/>
      <c r="O614"/>
      <c r="Q614" s="93"/>
      <c r="R614" s="93"/>
      <c r="S614" s="32"/>
      <c r="T614" s="93"/>
      <c r="U614" s="32"/>
      <c r="V614" s="32"/>
      <c r="W614" s="93"/>
      <c r="X614" s="32"/>
      <c r="Y614" s="93"/>
      <c r="Z614" s="93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93"/>
      <c r="BF614" s="32"/>
      <c r="BK614" s="32"/>
      <c r="BL614" s="32"/>
      <c r="BM614" s="32"/>
      <c r="BN614" s="32"/>
      <c r="BO614" s="32"/>
      <c r="BP614" s="32"/>
      <c r="BQ614" s="32"/>
      <c r="BR614" s="32"/>
    </row>
    <row r="615" spans="8:70" ht="28.5" customHeight="1">
      <c r="H615"/>
      <c r="I615"/>
      <c r="J615"/>
      <c r="K615"/>
      <c r="L615"/>
      <c r="M615"/>
      <c r="N615"/>
      <c r="O615"/>
      <c r="Q615" s="93"/>
      <c r="R615" s="93"/>
      <c r="S615" s="32"/>
      <c r="T615" s="93"/>
      <c r="U615" s="32"/>
      <c r="V615" s="32"/>
      <c r="W615" s="93"/>
      <c r="X615" s="32"/>
      <c r="Y615" s="93"/>
      <c r="Z615" s="93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93"/>
      <c r="BF615" s="32"/>
      <c r="BK615" s="32"/>
      <c r="BL615" s="32"/>
      <c r="BM615" s="32"/>
      <c r="BN615" s="32"/>
      <c r="BO615" s="32"/>
      <c r="BP615" s="32"/>
      <c r="BQ615" s="32"/>
      <c r="BR615" s="32"/>
    </row>
    <row r="616" spans="8:70" ht="28.5" customHeight="1">
      <c r="H616"/>
      <c r="I616"/>
      <c r="J616"/>
      <c r="K616"/>
      <c r="L616"/>
      <c r="M616"/>
      <c r="N616"/>
      <c r="O616"/>
      <c r="Q616" s="93"/>
      <c r="R616" s="93"/>
      <c r="S616" s="32"/>
      <c r="T616" s="93"/>
      <c r="U616" s="32"/>
      <c r="V616" s="32"/>
      <c r="W616" s="93"/>
      <c r="X616" s="32"/>
      <c r="Y616" s="93"/>
      <c r="Z616" s="93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93"/>
      <c r="BF616" s="32"/>
      <c r="BK616" s="32"/>
      <c r="BL616" s="32"/>
      <c r="BM616" s="32"/>
      <c r="BN616" s="32"/>
      <c r="BO616" s="32"/>
      <c r="BP616" s="32"/>
      <c r="BQ616" s="32"/>
      <c r="BR616" s="32"/>
    </row>
    <row r="617" spans="8:70" ht="28.5" customHeight="1">
      <c r="H617"/>
      <c r="I617"/>
      <c r="J617"/>
      <c r="K617"/>
      <c r="L617"/>
      <c r="M617"/>
      <c r="N617"/>
      <c r="O617"/>
      <c r="Q617" s="93"/>
      <c r="R617" s="93"/>
      <c r="S617" s="32"/>
      <c r="T617" s="93"/>
      <c r="U617" s="32"/>
      <c r="V617" s="32"/>
      <c r="W617" s="93"/>
      <c r="X617" s="32"/>
      <c r="Y617" s="93"/>
      <c r="Z617" s="93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93"/>
      <c r="BF617" s="32"/>
      <c r="BK617" s="32"/>
      <c r="BL617" s="32"/>
      <c r="BM617" s="32"/>
      <c r="BN617" s="32"/>
      <c r="BO617" s="32"/>
      <c r="BP617" s="32"/>
      <c r="BQ617" s="32"/>
      <c r="BR617" s="32"/>
    </row>
    <row r="618" spans="8:70" ht="28.5" customHeight="1">
      <c r="H618"/>
      <c r="I618"/>
      <c r="J618"/>
      <c r="K618"/>
      <c r="L618"/>
      <c r="M618"/>
      <c r="N618"/>
      <c r="O618"/>
      <c r="Q618" s="93"/>
      <c r="R618" s="93"/>
      <c r="S618" s="32"/>
      <c r="T618" s="93"/>
      <c r="U618" s="32"/>
      <c r="V618" s="32"/>
      <c r="W618" s="93"/>
      <c r="X618" s="32"/>
      <c r="Y618" s="93"/>
      <c r="Z618" s="93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93"/>
      <c r="BF618" s="32"/>
      <c r="BK618" s="32"/>
      <c r="BL618" s="32"/>
      <c r="BM618" s="32"/>
      <c r="BN618" s="32"/>
      <c r="BO618" s="32"/>
      <c r="BP618" s="32"/>
      <c r="BQ618" s="32"/>
      <c r="BR618" s="32"/>
    </row>
    <row r="619" spans="8:70" ht="28.5" customHeight="1">
      <c r="H619"/>
      <c r="I619"/>
      <c r="J619"/>
      <c r="K619"/>
      <c r="L619"/>
      <c r="M619"/>
      <c r="N619"/>
      <c r="O619"/>
      <c r="Q619" s="93"/>
      <c r="R619" s="93"/>
      <c r="S619" s="32"/>
      <c r="T619" s="93"/>
      <c r="U619" s="32"/>
      <c r="V619" s="32"/>
      <c r="W619" s="93"/>
      <c r="X619" s="32"/>
      <c r="Y619" s="93"/>
      <c r="Z619" s="93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93"/>
      <c r="BF619" s="32"/>
      <c r="BK619" s="32"/>
      <c r="BL619" s="32"/>
      <c r="BM619" s="32"/>
      <c r="BN619" s="32"/>
      <c r="BO619" s="32"/>
      <c r="BP619" s="32"/>
      <c r="BQ619" s="32"/>
      <c r="BR619" s="32"/>
    </row>
    <row r="620" spans="8:70" ht="28.5" customHeight="1">
      <c r="H620"/>
      <c r="I620"/>
      <c r="J620"/>
      <c r="K620"/>
      <c r="L620"/>
      <c r="M620"/>
      <c r="N620"/>
      <c r="O620"/>
      <c r="Q620" s="93"/>
      <c r="R620" s="93"/>
      <c r="S620" s="32"/>
      <c r="T620" s="93"/>
      <c r="U620" s="32"/>
      <c r="V620" s="32"/>
      <c r="W620" s="93"/>
      <c r="X620" s="32"/>
      <c r="Y620" s="93"/>
      <c r="Z620" s="93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93"/>
      <c r="BF620" s="32"/>
      <c r="BK620" s="32"/>
      <c r="BL620" s="32"/>
      <c r="BM620" s="32"/>
      <c r="BN620" s="32"/>
      <c r="BO620" s="32"/>
      <c r="BP620" s="32"/>
      <c r="BQ620" s="32"/>
      <c r="BR620" s="32"/>
    </row>
    <row r="621" spans="8:70" ht="28.5" customHeight="1">
      <c r="H621"/>
      <c r="I621"/>
      <c r="J621"/>
      <c r="K621"/>
      <c r="L621"/>
      <c r="M621"/>
      <c r="N621"/>
      <c r="O621"/>
      <c r="Q621" s="93"/>
      <c r="R621" s="93"/>
      <c r="S621" s="32"/>
      <c r="T621" s="93"/>
      <c r="U621" s="32"/>
      <c r="V621" s="32"/>
      <c r="W621" s="93"/>
      <c r="X621" s="32"/>
      <c r="Y621" s="93"/>
      <c r="Z621" s="93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93"/>
      <c r="BF621" s="32"/>
      <c r="BK621" s="32"/>
      <c r="BL621" s="32"/>
      <c r="BM621" s="32"/>
      <c r="BN621" s="32"/>
      <c r="BO621" s="32"/>
      <c r="BP621" s="32"/>
      <c r="BQ621" s="32"/>
      <c r="BR621" s="32"/>
    </row>
    <row r="622" spans="8:70" ht="28.5" customHeight="1">
      <c r="H622"/>
      <c r="I622"/>
      <c r="J622"/>
      <c r="K622"/>
      <c r="L622"/>
      <c r="M622"/>
      <c r="N622"/>
      <c r="O622"/>
      <c r="Q622" s="93"/>
      <c r="R622" s="93"/>
      <c r="S622" s="32"/>
      <c r="T622" s="93"/>
      <c r="U622" s="32"/>
      <c r="V622" s="32"/>
      <c r="W622" s="93"/>
      <c r="X622" s="32"/>
      <c r="Y622" s="93"/>
      <c r="Z622" s="93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93"/>
      <c r="BF622" s="32"/>
      <c r="BK622" s="32"/>
      <c r="BL622" s="32"/>
      <c r="BM622" s="32"/>
      <c r="BN622" s="32"/>
      <c r="BO622" s="32"/>
      <c r="BP622" s="32"/>
      <c r="BQ622" s="32"/>
      <c r="BR622" s="32"/>
    </row>
    <row r="623" spans="8:70" ht="28.5" customHeight="1">
      <c r="H623"/>
      <c r="I623"/>
      <c r="J623"/>
      <c r="K623"/>
      <c r="L623"/>
      <c r="M623"/>
      <c r="N623"/>
      <c r="O623"/>
      <c r="Q623" s="93"/>
      <c r="R623" s="93"/>
      <c r="S623" s="32"/>
      <c r="T623" s="93"/>
      <c r="U623" s="32"/>
      <c r="V623" s="32"/>
      <c r="W623" s="93"/>
      <c r="X623" s="32"/>
      <c r="Y623" s="93"/>
      <c r="Z623" s="93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93"/>
      <c r="BF623" s="32"/>
      <c r="BK623" s="32"/>
      <c r="BL623" s="32"/>
      <c r="BM623" s="32"/>
      <c r="BN623" s="32"/>
      <c r="BO623" s="32"/>
      <c r="BP623" s="32"/>
      <c r="BQ623" s="32"/>
      <c r="BR623" s="32"/>
    </row>
    <row r="624" spans="8:70" ht="28.5" customHeight="1">
      <c r="H624"/>
      <c r="I624"/>
      <c r="J624"/>
      <c r="K624"/>
      <c r="L624"/>
      <c r="M624"/>
      <c r="N624"/>
      <c r="O624"/>
      <c r="Q624" s="93"/>
      <c r="R624" s="93"/>
      <c r="S624" s="32"/>
      <c r="T624" s="93"/>
      <c r="U624" s="32"/>
      <c r="V624" s="32"/>
      <c r="W624" s="93"/>
      <c r="X624" s="32"/>
      <c r="Y624" s="93"/>
      <c r="Z624" s="93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93"/>
      <c r="BF624" s="32"/>
      <c r="BK624" s="32"/>
      <c r="BL624" s="32"/>
      <c r="BM624" s="32"/>
      <c r="BN624" s="32"/>
      <c r="BO624" s="32"/>
      <c r="BP624" s="32"/>
      <c r="BQ624" s="32"/>
      <c r="BR624" s="32"/>
    </row>
    <row r="625" spans="8:70" ht="28.5" customHeight="1">
      <c r="H625"/>
      <c r="I625"/>
      <c r="J625"/>
      <c r="K625"/>
      <c r="L625"/>
      <c r="M625"/>
      <c r="N625"/>
      <c r="O625"/>
      <c r="Q625" s="93"/>
      <c r="R625" s="93"/>
      <c r="S625" s="32"/>
      <c r="T625" s="93"/>
      <c r="U625" s="32"/>
      <c r="V625" s="32"/>
      <c r="W625" s="93"/>
      <c r="X625" s="32"/>
      <c r="Y625" s="93"/>
      <c r="Z625" s="93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93"/>
      <c r="BF625" s="32"/>
      <c r="BK625" s="32"/>
      <c r="BL625" s="32"/>
      <c r="BM625" s="32"/>
      <c r="BN625" s="32"/>
      <c r="BO625" s="32"/>
      <c r="BP625" s="32"/>
      <c r="BQ625" s="32"/>
      <c r="BR625" s="32"/>
    </row>
    <row r="626" spans="8:70" ht="28.5" customHeight="1">
      <c r="H626"/>
      <c r="I626"/>
      <c r="J626"/>
      <c r="K626"/>
      <c r="L626"/>
      <c r="M626"/>
      <c r="N626"/>
      <c r="O626"/>
      <c r="Q626" s="93"/>
      <c r="R626" s="93"/>
      <c r="S626" s="32"/>
      <c r="T626" s="93"/>
      <c r="U626" s="32"/>
      <c r="V626" s="32"/>
      <c r="W626" s="93"/>
      <c r="X626" s="32"/>
      <c r="Y626" s="93"/>
      <c r="Z626" s="93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93"/>
      <c r="BF626" s="32"/>
    </row>
    <row r="627" spans="8:70" ht="28.5" customHeight="1">
      <c r="H627"/>
      <c r="I627"/>
      <c r="J627"/>
      <c r="K627"/>
      <c r="L627"/>
      <c r="M627"/>
      <c r="N627"/>
      <c r="O627"/>
      <c r="Q627" s="93"/>
      <c r="R627" s="93"/>
      <c r="S627" s="32"/>
      <c r="T627" s="93"/>
      <c r="U627" s="32"/>
      <c r="V627" s="32"/>
      <c r="W627" s="93"/>
      <c r="X627" s="32"/>
      <c r="Y627" s="93"/>
      <c r="Z627" s="93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93"/>
      <c r="BF627" s="32"/>
    </row>
    <row r="628" spans="8:70" ht="28.5" customHeight="1">
      <c r="H628"/>
      <c r="I628"/>
      <c r="J628"/>
      <c r="K628"/>
      <c r="L628"/>
      <c r="M628"/>
      <c r="N628"/>
      <c r="O628"/>
      <c r="Q628" s="93"/>
      <c r="R628" s="93"/>
      <c r="S628" s="32"/>
      <c r="T628" s="93"/>
      <c r="U628" s="32"/>
      <c r="V628" s="32"/>
      <c r="W628" s="93"/>
      <c r="X628" s="32"/>
      <c r="Y628" s="93"/>
      <c r="Z628" s="93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93"/>
      <c r="BF628" s="32"/>
    </row>
    <row r="629" spans="8:70" ht="28.5" customHeight="1">
      <c r="H629"/>
      <c r="I629"/>
      <c r="J629"/>
      <c r="K629"/>
      <c r="L629"/>
      <c r="M629"/>
      <c r="N629"/>
      <c r="O629"/>
      <c r="Q629" s="93"/>
      <c r="R629" s="93"/>
      <c r="S629" s="32"/>
      <c r="T629" s="93"/>
      <c r="U629" s="32"/>
      <c r="V629" s="32"/>
      <c r="W629" s="93"/>
      <c r="X629" s="32"/>
      <c r="Y629" s="93"/>
      <c r="Z629" s="93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93"/>
      <c r="BF629" s="32"/>
    </row>
    <row r="630" spans="8:70" ht="28.5" customHeight="1">
      <c r="H630"/>
      <c r="I630"/>
      <c r="J630"/>
      <c r="K630"/>
      <c r="L630"/>
      <c r="M630"/>
      <c r="N630"/>
      <c r="O630"/>
      <c r="Q630" s="93"/>
      <c r="R630" s="93"/>
      <c r="S630" s="32"/>
      <c r="T630" s="93"/>
      <c r="U630" s="32"/>
      <c r="V630" s="32"/>
      <c r="W630" s="93"/>
      <c r="X630" s="32"/>
      <c r="Y630" s="93"/>
      <c r="Z630" s="93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93"/>
      <c r="BF630" s="32"/>
    </row>
    <row r="631" spans="8:70" ht="28.5" customHeight="1">
      <c r="H631"/>
      <c r="I631"/>
      <c r="J631"/>
      <c r="K631"/>
      <c r="L631"/>
      <c r="M631"/>
      <c r="N631"/>
      <c r="O631"/>
      <c r="Q631" s="93"/>
      <c r="R631" s="93"/>
      <c r="S631" s="32"/>
      <c r="T631" s="93"/>
      <c r="U631" s="32"/>
      <c r="V631" s="32"/>
      <c r="W631" s="93"/>
      <c r="X631" s="32"/>
      <c r="Y631" s="93"/>
      <c r="Z631" s="93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93"/>
      <c r="BF631" s="32"/>
    </row>
    <row r="632" spans="8:70" ht="28.5" customHeight="1">
      <c r="H632"/>
      <c r="I632"/>
      <c r="J632"/>
      <c r="K632"/>
      <c r="L632"/>
      <c r="M632"/>
      <c r="N632"/>
      <c r="O632"/>
      <c r="Q632" s="93"/>
      <c r="R632" s="93"/>
      <c r="S632" s="32"/>
      <c r="T632" s="93"/>
      <c r="U632" s="32"/>
      <c r="V632" s="32"/>
      <c r="W632" s="93"/>
      <c r="X632" s="32"/>
      <c r="Y632" s="93"/>
      <c r="Z632" s="93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93"/>
      <c r="BF632" s="32"/>
    </row>
    <row r="633" spans="8:70" ht="28.5" customHeight="1">
      <c r="H633"/>
      <c r="I633"/>
      <c r="J633"/>
      <c r="K633"/>
      <c r="L633"/>
      <c r="M633"/>
      <c r="N633"/>
      <c r="O633"/>
      <c r="Q633" s="93"/>
      <c r="R633" s="93"/>
      <c r="S633" s="32"/>
      <c r="T633" s="93"/>
      <c r="U633" s="32"/>
      <c r="V633" s="32"/>
      <c r="W633" s="93"/>
      <c r="X633" s="32"/>
      <c r="Y633" s="93"/>
      <c r="Z633" s="93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93"/>
      <c r="BF633" s="32"/>
    </row>
    <row r="634" spans="8:70" ht="28.5" customHeight="1">
      <c r="H634"/>
      <c r="I634"/>
      <c r="J634"/>
      <c r="K634"/>
      <c r="L634"/>
      <c r="M634"/>
      <c r="N634"/>
      <c r="O634"/>
      <c r="Q634" s="93"/>
      <c r="R634" s="93"/>
      <c r="S634" s="32"/>
      <c r="T634" s="93"/>
      <c r="U634" s="32"/>
      <c r="V634" s="32"/>
      <c r="W634" s="93"/>
      <c r="X634" s="32"/>
      <c r="Y634" s="93"/>
      <c r="Z634" s="93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93"/>
      <c r="BF634" s="32"/>
    </row>
    <row r="635" spans="8:70" ht="28.5" customHeight="1">
      <c r="H635"/>
      <c r="I635"/>
      <c r="J635"/>
      <c r="K635"/>
      <c r="L635"/>
      <c r="M635"/>
      <c r="N635"/>
      <c r="O635"/>
      <c r="Q635" s="93"/>
      <c r="R635" s="93"/>
      <c r="S635" s="32"/>
      <c r="T635" s="93"/>
      <c r="U635" s="32"/>
      <c r="V635" s="32"/>
      <c r="W635" s="93"/>
      <c r="X635" s="32"/>
      <c r="Y635" s="93"/>
      <c r="Z635" s="93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93"/>
      <c r="BF635" s="32"/>
    </row>
    <row r="636" spans="8:70" ht="28.5" customHeight="1">
      <c r="H636"/>
      <c r="I636"/>
      <c r="J636"/>
      <c r="K636"/>
      <c r="L636"/>
      <c r="M636"/>
      <c r="N636"/>
      <c r="O636"/>
      <c r="Q636" s="93"/>
      <c r="R636" s="93"/>
      <c r="S636" s="32"/>
      <c r="T636" s="93"/>
      <c r="U636" s="32"/>
      <c r="V636" s="32"/>
      <c r="W636" s="93"/>
      <c r="X636" s="32"/>
      <c r="Y636" s="93"/>
      <c r="Z636" s="93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93"/>
      <c r="BF636" s="32"/>
    </row>
    <row r="637" spans="8:70" ht="28.5" customHeight="1">
      <c r="H637"/>
      <c r="I637"/>
      <c r="J637"/>
      <c r="K637"/>
      <c r="L637"/>
      <c r="M637"/>
      <c r="N637"/>
      <c r="O637"/>
      <c r="Q637" s="93"/>
      <c r="R637" s="93"/>
      <c r="S637" s="32"/>
      <c r="T637" s="93"/>
      <c r="U637" s="32"/>
      <c r="V637" s="32"/>
      <c r="W637" s="93"/>
      <c r="X637" s="32"/>
      <c r="Y637" s="93"/>
      <c r="Z637" s="93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93"/>
      <c r="BF637" s="32"/>
    </row>
    <row r="638" spans="8:70" ht="28.5" customHeight="1">
      <c r="H638"/>
      <c r="I638"/>
      <c r="J638"/>
      <c r="K638"/>
      <c r="L638"/>
      <c r="M638"/>
      <c r="N638"/>
      <c r="O638"/>
      <c r="Q638" s="93"/>
      <c r="R638" s="93"/>
      <c r="S638" s="32"/>
      <c r="T638" s="93"/>
      <c r="U638" s="32"/>
      <c r="V638" s="32"/>
      <c r="W638" s="93"/>
      <c r="X638" s="32"/>
      <c r="Y638" s="93"/>
      <c r="Z638" s="93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93"/>
      <c r="BF638" s="32"/>
    </row>
    <row r="639" spans="8:70" ht="28.5" customHeight="1">
      <c r="H639"/>
      <c r="I639"/>
      <c r="J639"/>
      <c r="K639"/>
      <c r="L639"/>
      <c r="M639"/>
      <c r="N639"/>
      <c r="O639"/>
      <c r="Q639" s="93"/>
      <c r="R639" s="93"/>
      <c r="S639" s="32"/>
      <c r="T639" s="93"/>
      <c r="U639" s="32"/>
      <c r="V639" s="32"/>
      <c r="W639" s="93"/>
      <c r="X639" s="32"/>
      <c r="Y639" s="93"/>
      <c r="Z639" s="93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93"/>
      <c r="BF639" s="32"/>
    </row>
    <row r="737" spans="8:62" ht="28.5" customHeight="1">
      <c r="H737"/>
      <c r="I737"/>
      <c r="J737"/>
      <c r="K737"/>
      <c r="L737"/>
      <c r="M737"/>
      <c r="N737"/>
      <c r="O737"/>
      <c r="Q737"/>
      <c r="R737"/>
      <c r="T737"/>
      <c r="W737"/>
      <c r="Y737"/>
      <c r="Z737"/>
      <c r="BE737"/>
      <c r="BG737" s="109"/>
      <c r="BH737" s="109"/>
      <c r="BI737" s="109"/>
      <c r="BJ737" s="109"/>
    </row>
  </sheetData>
  <autoFilter ref="A3:BR596">
    <filterColumn colId="9"/>
    <filterColumn colId="10"/>
    <filterColumn colId="29"/>
    <filterColumn colId="30"/>
    <filterColumn colId="31"/>
    <filterColumn colId="38"/>
    <filterColumn colId="45"/>
    <filterColumn colId="46"/>
    <filterColumn colId="48"/>
    <filterColumn colId="53"/>
    <filterColumn colId="55"/>
    <filterColumn colId="56"/>
    <filterColumn colId="57"/>
    <filterColumn colId="60"/>
    <filterColumn colId="61"/>
    <sortState ref="A5:BR596">
      <sortCondition ref="A3:A596"/>
    </sortState>
  </autoFilter>
  <mergeCells count="48">
    <mergeCell ref="A1:BE1"/>
    <mergeCell ref="AA2:AF2"/>
    <mergeCell ref="AG2:AK2"/>
    <mergeCell ref="AL2:AS2"/>
    <mergeCell ref="AT2:AU2"/>
    <mergeCell ref="U2:U3"/>
    <mergeCell ref="M2:M3"/>
    <mergeCell ref="N2:N3"/>
    <mergeCell ref="BB2:BB3"/>
    <mergeCell ref="P2:P3"/>
    <mergeCell ref="Q2:Q3"/>
    <mergeCell ref="R2:R3"/>
    <mergeCell ref="S2:S3"/>
    <mergeCell ref="T2:T3"/>
    <mergeCell ref="A2:A3"/>
    <mergeCell ref="C2:C3"/>
    <mergeCell ref="V2:V3"/>
    <mergeCell ref="D2:D3"/>
    <mergeCell ref="E2:E3"/>
    <mergeCell ref="F2:F3"/>
    <mergeCell ref="G2:G3"/>
    <mergeCell ref="H2:H3"/>
    <mergeCell ref="I2:I3"/>
    <mergeCell ref="O2:O3"/>
    <mergeCell ref="K2:K3"/>
    <mergeCell ref="J2:J3"/>
    <mergeCell ref="L2:L3"/>
    <mergeCell ref="BQ2:BQ3"/>
    <mergeCell ref="BH2:BH3"/>
    <mergeCell ref="BK2:BK3"/>
    <mergeCell ref="BL2:BL3"/>
    <mergeCell ref="BM2:BM3"/>
    <mergeCell ref="BN2:BN3"/>
    <mergeCell ref="BO2:BO3"/>
    <mergeCell ref="BJ2:BJ3"/>
    <mergeCell ref="BI2:BI3"/>
    <mergeCell ref="BP2:BP3"/>
    <mergeCell ref="BG2:BG3"/>
    <mergeCell ref="W2:W3"/>
    <mergeCell ref="X2:X3"/>
    <mergeCell ref="Y2:Y3"/>
    <mergeCell ref="Z2:Z3"/>
    <mergeCell ref="BC2:BC3"/>
    <mergeCell ref="AY2:AY3"/>
    <mergeCell ref="AZ2:AZ3"/>
    <mergeCell ref="BA2:BA3"/>
    <mergeCell ref="BD2:BD3"/>
    <mergeCell ref="BE2:BE3"/>
  </mergeCells>
  <conditionalFormatting sqref="BB4:BD596 BF4:BF59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rintOptions horizontalCentered="1" verticalCentered="1"/>
  <pageMargins left="0.15" right="0.15" top="0.5" bottom="0.5" header="0.15" footer="0.15"/>
  <pageSetup paperSize="8" scale="41" fitToWidth="0" fitToHeight="0" orientation="landscape" cellComments="asDisplayed" r:id="rId1"/>
  <headerFooter>
    <oddFooter>&amp;RUpdated on: &amp;D
&amp;F
Page &amp;P of &amp;N</oddFooter>
  </headerFooter>
  <rowBreaks count="5" manualBreakCount="5">
    <brk id="28" max="55" man="1"/>
    <brk id="40" max="55" man="1"/>
    <brk id="83" max="55" man="1"/>
    <brk id="122" max="55" man="1"/>
    <brk id="149" max="5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3"/>
  <sheetViews>
    <sheetView topLeftCell="F1" workbookViewId="0">
      <selection activeCell="T3" sqref="T3"/>
    </sheetView>
  </sheetViews>
  <sheetFormatPr defaultColWidth="10.42578125" defaultRowHeight="15"/>
  <cols>
    <col min="1" max="1" width="3.85546875" style="111" customWidth="1"/>
    <col min="2" max="2" width="12.7109375" style="111" customWidth="1"/>
    <col min="3" max="3" width="11.85546875" style="111" customWidth="1"/>
    <col min="4" max="4" width="11.5703125" style="111" customWidth="1"/>
    <col min="5" max="5" width="11.7109375" style="111" customWidth="1"/>
    <col min="6" max="6" width="11.140625" style="111" customWidth="1"/>
    <col min="7" max="7" width="10.42578125" style="111"/>
    <col min="8" max="8" width="12" style="111" customWidth="1"/>
    <col min="9" max="11" width="10.42578125" style="111"/>
    <col min="12" max="12" width="11.7109375" style="111" customWidth="1"/>
    <col min="13" max="13" width="10.28515625" style="111" customWidth="1"/>
    <col min="14" max="15" width="8.7109375" style="111" bestFit="1" customWidth="1"/>
    <col min="16" max="22" width="10.42578125" style="111"/>
    <col min="23" max="23" width="10.42578125" style="111" bestFit="1" customWidth="1"/>
    <col min="24" max="24" width="10.42578125" style="111"/>
    <col min="25" max="25" width="11.140625" style="111" customWidth="1"/>
    <col min="26" max="26" width="10.28515625" style="111" customWidth="1"/>
    <col min="27" max="16384" width="10.42578125" style="111"/>
  </cols>
  <sheetData>
    <row r="1" spans="1:27">
      <c r="B1" s="159" t="s">
        <v>1281</v>
      </c>
      <c r="P1" s="159" t="s">
        <v>1281</v>
      </c>
    </row>
    <row r="2" spans="1:27" ht="18.75">
      <c r="B2" s="160" t="s">
        <v>1282</v>
      </c>
      <c r="P2" s="160" t="s">
        <v>1283</v>
      </c>
    </row>
    <row r="3" spans="1:27" ht="39.75" customHeight="1">
      <c r="A3" s="111">
        <v>1</v>
      </c>
      <c r="B3" s="81" t="s">
        <v>943</v>
      </c>
      <c r="C3" s="81" t="s">
        <v>943</v>
      </c>
      <c r="D3" s="81" t="s">
        <v>943</v>
      </c>
      <c r="E3" s="81" t="s">
        <v>943</v>
      </c>
      <c r="F3" s="81" t="s">
        <v>943</v>
      </c>
      <c r="G3" s="81" t="s">
        <v>943</v>
      </c>
      <c r="H3" s="81" t="s">
        <v>943</v>
      </c>
      <c r="I3" s="81" t="s">
        <v>943</v>
      </c>
      <c r="J3" s="81" t="s">
        <v>943</v>
      </c>
      <c r="K3" s="81" t="s">
        <v>943</v>
      </c>
      <c r="L3" s="81" t="s">
        <v>943</v>
      </c>
      <c r="M3" s="81" t="s">
        <v>943</v>
      </c>
      <c r="P3" s="26" t="s">
        <v>1284</v>
      </c>
      <c r="Q3" s="26" t="s">
        <v>1080</v>
      </c>
      <c r="R3" s="26" t="s">
        <v>1080</v>
      </c>
      <c r="S3" s="26"/>
      <c r="T3" s="26" t="s">
        <v>1284</v>
      </c>
      <c r="U3" s="26" t="s">
        <v>1285</v>
      </c>
      <c r="V3" s="26" t="s">
        <v>1080</v>
      </c>
      <c r="W3" s="26" t="s">
        <v>1080</v>
      </c>
      <c r="X3" s="26" t="s">
        <v>1080</v>
      </c>
      <c r="Y3" s="26" t="s">
        <v>1286</v>
      </c>
      <c r="Z3" s="26" t="s">
        <v>799</v>
      </c>
      <c r="AA3" s="26" t="s">
        <v>797</v>
      </c>
    </row>
    <row r="4" spans="1:27">
      <c r="B4" s="115">
        <v>700</v>
      </c>
      <c r="C4" s="115">
        <v>700</v>
      </c>
      <c r="D4" s="115">
        <v>700</v>
      </c>
      <c r="E4" s="115">
        <v>700</v>
      </c>
      <c r="F4" s="115">
        <v>700</v>
      </c>
      <c r="G4" s="115">
        <v>700</v>
      </c>
      <c r="H4" s="115">
        <v>700</v>
      </c>
      <c r="I4" s="115">
        <v>700</v>
      </c>
      <c r="J4" s="115">
        <v>700</v>
      </c>
      <c r="K4" s="115">
        <v>700</v>
      </c>
      <c r="L4" s="115">
        <v>700</v>
      </c>
      <c r="M4" s="115">
        <v>700</v>
      </c>
      <c r="N4" s="111">
        <f>SUM(B4:M4)</f>
        <v>8400</v>
      </c>
      <c r="O4" s="111">
        <f>SUM(P4:AA4)</f>
        <v>9250</v>
      </c>
      <c r="P4" s="115">
        <v>1000</v>
      </c>
      <c r="Q4" s="115">
        <v>1600</v>
      </c>
      <c r="R4" s="115">
        <v>1250</v>
      </c>
      <c r="S4" s="115"/>
      <c r="T4" s="115">
        <v>500</v>
      </c>
      <c r="U4" s="115">
        <v>600</v>
      </c>
      <c r="V4" s="115">
        <v>1000</v>
      </c>
      <c r="W4" s="115">
        <v>1000</v>
      </c>
      <c r="X4" s="115">
        <v>1700</v>
      </c>
      <c r="Y4" s="115">
        <v>100</v>
      </c>
      <c r="Z4" s="115">
        <v>300</v>
      </c>
      <c r="AA4" s="115">
        <v>200</v>
      </c>
    </row>
    <row r="5" spans="1:27" ht="51">
      <c r="A5" s="111">
        <v>2</v>
      </c>
      <c r="B5" s="26" t="s">
        <v>1080</v>
      </c>
      <c r="C5" s="26" t="s">
        <v>1080</v>
      </c>
      <c r="D5" s="26" t="s">
        <v>1080</v>
      </c>
      <c r="E5" s="26" t="s">
        <v>1080</v>
      </c>
      <c r="F5" s="26" t="s">
        <v>290</v>
      </c>
      <c r="G5" s="26" t="s">
        <v>290</v>
      </c>
      <c r="H5" s="26" t="s">
        <v>290</v>
      </c>
      <c r="I5" s="26" t="s">
        <v>1080</v>
      </c>
      <c r="J5" s="22" t="s">
        <v>1204</v>
      </c>
      <c r="K5" s="22" t="s">
        <v>1204</v>
      </c>
      <c r="L5" s="22" t="s">
        <v>1204</v>
      </c>
      <c r="M5" s="26" t="s">
        <v>729</v>
      </c>
      <c r="P5" s="26" t="s">
        <v>729</v>
      </c>
      <c r="Q5" s="26" t="s">
        <v>290</v>
      </c>
      <c r="R5" s="26" t="s">
        <v>1182</v>
      </c>
      <c r="S5" s="26" t="s">
        <v>141</v>
      </c>
      <c r="T5" s="26" t="s">
        <v>214</v>
      </c>
      <c r="U5" s="26" t="s">
        <v>1182</v>
      </c>
      <c r="V5" s="26" t="s">
        <v>141</v>
      </c>
      <c r="W5" s="26" t="s">
        <v>1182</v>
      </c>
      <c r="X5" s="26" t="s">
        <v>141</v>
      </c>
      <c r="Y5" s="26" t="s">
        <v>1182</v>
      </c>
      <c r="Z5" s="26" t="s">
        <v>1182</v>
      </c>
      <c r="AA5" s="26" t="s">
        <v>1182</v>
      </c>
    </row>
    <row r="6" spans="1:27">
      <c r="B6" s="115">
        <v>800</v>
      </c>
      <c r="C6" s="115">
        <v>900</v>
      </c>
      <c r="D6" s="115">
        <v>900</v>
      </c>
      <c r="E6" s="115">
        <v>900</v>
      </c>
      <c r="F6" s="115">
        <v>280</v>
      </c>
      <c r="G6" s="115">
        <v>280</v>
      </c>
      <c r="H6" s="115">
        <v>280</v>
      </c>
      <c r="I6" s="115">
        <v>900</v>
      </c>
      <c r="J6" s="115">
        <v>500</v>
      </c>
      <c r="K6" s="115">
        <v>700</v>
      </c>
      <c r="L6" s="115">
        <v>900</v>
      </c>
      <c r="M6" s="115">
        <v>1000</v>
      </c>
      <c r="N6" s="111">
        <f>SUM(B6:M6)</f>
        <v>8340</v>
      </c>
      <c r="O6" s="111">
        <f>SUM(P6:AA6)</f>
        <v>4550</v>
      </c>
      <c r="P6" s="115">
        <v>1000</v>
      </c>
      <c r="Q6" s="115">
        <v>300</v>
      </c>
      <c r="R6" s="115">
        <v>400</v>
      </c>
      <c r="S6" s="115">
        <v>400</v>
      </c>
      <c r="T6" s="115">
        <v>250</v>
      </c>
      <c r="U6" s="115">
        <v>100</v>
      </c>
      <c r="V6" s="115">
        <v>300</v>
      </c>
      <c r="W6" s="111">
        <v>400</v>
      </c>
      <c r="X6" s="115">
        <v>350</v>
      </c>
      <c r="Y6" s="115">
        <v>350</v>
      </c>
      <c r="Z6" s="115">
        <v>350</v>
      </c>
      <c r="AA6" s="115">
        <v>350</v>
      </c>
    </row>
    <row r="7" spans="1:27" ht="51">
      <c r="A7" s="111">
        <v>3</v>
      </c>
      <c r="B7" s="26" t="s">
        <v>141</v>
      </c>
      <c r="C7" s="26" t="s">
        <v>1182</v>
      </c>
      <c r="D7" s="26" t="s">
        <v>1080</v>
      </c>
      <c r="E7" s="26" t="s">
        <v>1080</v>
      </c>
      <c r="F7" s="26" t="s">
        <v>1080</v>
      </c>
      <c r="G7" s="26"/>
      <c r="H7" s="26" t="s">
        <v>141</v>
      </c>
      <c r="I7" s="26" t="s">
        <v>141</v>
      </c>
      <c r="J7" s="26" t="s">
        <v>1182</v>
      </c>
      <c r="K7" s="26" t="s">
        <v>1182</v>
      </c>
      <c r="L7" s="26" t="s">
        <v>361</v>
      </c>
      <c r="M7" s="26" t="s">
        <v>141</v>
      </c>
      <c r="P7" s="26" t="s">
        <v>141</v>
      </c>
      <c r="Q7" s="26" t="s">
        <v>1182</v>
      </c>
      <c r="R7" s="26" t="s">
        <v>141</v>
      </c>
      <c r="S7" s="26" t="s">
        <v>290</v>
      </c>
      <c r="T7" s="26" t="s">
        <v>290</v>
      </c>
      <c r="U7" s="26" t="s">
        <v>290</v>
      </c>
      <c r="V7" s="26" t="s">
        <v>1182</v>
      </c>
      <c r="W7" s="26" t="s">
        <v>141</v>
      </c>
      <c r="X7" s="26" t="s">
        <v>1182</v>
      </c>
      <c r="Y7" s="26"/>
      <c r="Z7" s="26" t="s">
        <v>1287</v>
      </c>
      <c r="AA7" s="26" t="s">
        <v>1288</v>
      </c>
    </row>
    <row r="8" spans="1:27">
      <c r="B8" s="115">
        <v>400</v>
      </c>
      <c r="C8" s="115">
        <v>400</v>
      </c>
      <c r="D8" s="115">
        <v>1300</v>
      </c>
      <c r="E8" s="115">
        <v>1300</v>
      </c>
      <c r="F8" s="115">
        <v>1300</v>
      </c>
      <c r="G8" s="115"/>
      <c r="H8" s="111">
        <v>400</v>
      </c>
      <c r="I8" s="115">
        <v>400</v>
      </c>
      <c r="J8" s="115">
        <v>350</v>
      </c>
      <c r="K8" s="115">
        <v>350</v>
      </c>
      <c r="L8" s="115">
        <v>2000</v>
      </c>
      <c r="M8" s="115">
        <v>1400</v>
      </c>
      <c r="N8" s="111">
        <f>SUM(B8:M8)</f>
        <v>9600</v>
      </c>
      <c r="O8" s="111">
        <f t="shared" ref="O8:O10" si="0">SUM(P8:AA8)</f>
        <v>3750</v>
      </c>
      <c r="P8" s="115">
        <v>300</v>
      </c>
      <c r="Q8" s="115">
        <v>400</v>
      </c>
      <c r="R8" s="115">
        <v>400</v>
      </c>
      <c r="S8" s="115">
        <v>400</v>
      </c>
      <c r="T8" s="115">
        <v>400</v>
      </c>
      <c r="U8" s="115">
        <v>400</v>
      </c>
      <c r="V8" s="115">
        <v>400</v>
      </c>
      <c r="W8" s="115">
        <v>400</v>
      </c>
      <c r="X8" s="115">
        <v>500</v>
      </c>
      <c r="Y8" s="115"/>
      <c r="Z8" s="115">
        <v>100</v>
      </c>
      <c r="AA8" s="115">
        <v>50</v>
      </c>
    </row>
    <row r="9" spans="1:27" ht="51">
      <c r="A9" s="111">
        <v>4</v>
      </c>
      <c r="B9" s="26" t="s">
        <v>1182</v>
      </c>
      <c r="C9" s="26" t="s">
        <v>141</v>
      </c>
      <c r="D9" s="26" t="s">
        <v>844</v>
      </c>
      <c r="E9" s="26" t="s">
        <v>306</v>
      </c>
      <c r="F9" s="26" t="s">
        <v>306</v>
      </c>
      <c r="G9" s="26" t="s">
        <v>306</v>
      </c>
      <c r="H9" s="26" t="s">
        <v>306</v>
      </c>
      <c r="I9" s="26" t="s">
        <v>386</v>
      </c>
      <c r="J9" s="26" t="s">
        <v>770</v>
      </c>
      <c r="K9" s="26" t="s">
        <v>874</v>
      </c>
      <c r="L9" s="26" t="s">
        <v>874</v>
      </c>
      <c r="M9" s="26" t="s">
        <v>141</v>
      </c>
      <c r="P9" s="26"/>
      <c r="Q9" s="22" t="s">
        <v>1354</v>
      </c>
      <c r="R9" s="22" t="s">
        <v>662</v>
      </c>
      <c r="S9" s="26"/>
      <c r="T9" s="26" t="s">
        <v>141</v>
      </c>
      <c r="U9" s="26" t="s">
        <v>290</v>
      </c>
      <c r="V9" s="26" t="s">
        <v>141</v>
      </c>
      <c r="W9" s="26" t="s">
        <v>1289</v>
      </c>
      <c r="X9" s="26" t="s">
        <v>757</v>
      </c>
      <c r="Y9" s="26" t="s">
        <v>757</v>
      </c>
      <c r="Z9" s="26" t="s">
        <v>757</v>
      </c>
      <c r="AA9" s="26" t="s">
        <v>757</v>
      </c>
    </row>
    <row r="10" spans="1:27">
      <c r="B10" s="115">
        <v>800</v>
      </c>
      <c r="C10" s="115">
        <v>400</v>
      </c>
      <c r="D10" s="115">
        <v>300</v>
      </c>
      <c r="E10" s="115">
        <v>300</v>
      </c>
      <c r="F10" s="115">
        <v>300</v>
      </c>
      <c r="G10" s="115">
        <v>300</v>
      </c>
      <c r="H10" s="115">
        <v>120</v>
      </c>
      <c r="I10" s="115">
        <v>90</v>
      </c>
      <c r="J10" s="115">
        <v>90</v>
      </c>
      <c r="K10" s="115">
        <v>1000</v>
      </c>
      <c r="L10" s="115">
        <v>500</v>
      </c>
      <c r="M10" s="115">
        <v>400</v>
      </c>
      <c r="N10" s="111">
        <f>SUM(B10:M10)</f>
        <v>4600</v>
      </c>
      <c r="O10" s="111">
        <f>SUM(Q10:AA10)</f>
        <v>6290</v>
      </c>
      <c r="P10" s="115"/>
      <c r="Q10" s="111">
        <v>620</v>
      </c>
      <c r="R10" s="111">
        <v>620</v>
      </c>
      <c r="S10" s="115"/>
      <c r="T10" s="115">
        <v>350</v>
      </c>
      <c r="U10" s="115">
        <v>350</v>
      </c>
      <c r="V10" s="115">
        <v>500</v>
      </c>
      <c r="W10" s="115">
        <v>500</v>
      </c>
      <c r="X10" s="115">
        <v>650</v>
      </c>
      <c r="Y10" s="115">
        <v>850</v>
      </c>
      <c r="Z10" s="115">
        <v>850</v>
      </c>
      <c r="AA10" s="115">
        <v>1000</v>
      </c>
    </row>
    <row r="11" spans="1:27" ht="51">
      <c r="A11" s="111">
        <v>5</v>
      </c>
      <c r="B11" s="26" t="s">
        <v>1182</v>
      </c>
      <c r="C11" s="26" t="s">
        <v>141</v>
      </c>
      <c r="D11" s="26" t="s">
        <v>1290</v>
      </c>
      <c r="E11" s="26" t="s">
        <v>651</v>
      </c>
      <c r="F11" s="26" t="s">
        <v>685</v>
      </c>
      <c r="G11" s="26" t="s">
        <v>1182</v>
      </c>
      <c r="H11" s="26" t="s">
        <v>1291</v>
      </c>
      <c r="I11" s="26" t="s">
        <v>884</v>
      </c>
      <c r="J11" s="26" t="s">
        <v>1292</v>
      </c>
      <c r="K11" s="26" t="s">
        <v>713</v>
      </c>
      <c r="L11" s="26" t="s">
        <v>566</v>
      </c>
      <c r="M11" s="26" t="s">
        <v>1287</v>
      </c>
      <c r="P11" s="26" t="s">
        <v>713</v>
      </c>
      <c r="Q11" s="26"/>
      <c r="R11" s="26"/>
      <c r="S11" s="26"/>
      <c r="T11" s="26"/>
      <c r="U11" s="26"/>
      <c r="V11" s="26" t="s">
        <v>1102</v>
      </c>
      <c r="W11" s="26" t="s">
        <v>1102</v>
      </c>
      <c r="X11" s="26" t="s">
        <v>1102</v>
      </c>
      <c r="Y11" s="26" t="s">
        <v>361</v>
      </c>
      <c r="Z11" s="26" t="s">
        <v>361</v>
      </c>
      <c r="AA11" s="26" t="s">
        <v>361</v>
      </c>
    </row>
    <row r="12" spans="1:27">
      <c r="B12" s="115">
        <v>350</v>
      </c>
      <c r="C12" s="115">
        <v>1200</v>
      </c>
      <c r="D12" s="115">
        <v>170</v>
      </c>
      <c r="E12" s="115">
        <v>90</v>
      </c>
      <c r="F12" s="111">
        <v>160</v>
      </c>
      <c r="G12" s="115">
        <v>750</v>
      </c>
      <c r="H12" s="115">
        <v>300</v>
      </c>
      <c r="I12" s="111">
        <v>12</v>
      </c>
      <c r="J12" s="115">
        <v>400</v>
      </c>
      <c r="K12" s="111">
        <v>900</v>
      </c>
      <c r="L12" s="111">
        <v>400</v>
      </c>
      <c r="M12" s="115">
        <v>760</v>
      </c>
      <c r="N12" s="111">
        <f>SUM(B12:M12)</f>
        <v>5492</v>
      </c>
      <c r="O12" s="111">
        <f>SUM(P12:AA12)</f>
        <v>5360</v>
      </c>
      <c r="P12" s="115">
        <v>560</v>
      </c>
      <c r="Q12" s="115"/>
      <c r="R12" s="115"/>
      <c r="S12" s="115"/>
      <c r="T12" s="115"/>
      <c r="U12" s="115"/>
      <c r="V12" s="115">
        <v>600</v>
      </c>
      <c r="W12" s="115">
        <v>600</v>
      </c>
      <c r="X12" s="115">
        <v>600</v>
      </c>
      <c r="Y12" s="115">
        <v>1000</v>
      </c>
      <c r="Z12" s="115">
        <v>1000</v>
      </c>
      <c r="AA12" s="115">
        <v>1000</v>
      </c>
    </row>
    <row r="13" spans="1:27" ht="51">
      <c r="A13" s="111">
        <v>6</v>
      </c>
      <c r="B13" s="26"/>
      <c r="C13" s="26" t="s">
        <v>1159</v>
      </c>
      <c r="D13" s="26" t="s">
        <v>1182</v>
      </c>
      <c r="E13" s="26" t="s">
        <v>290</v>
      </c>
      <c r="F13" s="26" t="s">
        <v>1080</v>
      </c>
      <c r="G13" s="26" t="s">
        <v>290</v>
      </c>
      <c r="H13" s="26" t="s">
        <v>1268</v>
      </c>
      <c r="I13" s="26" t="s">
        <v>1268</v>
      </c>
      <c r="J13" s="26" t="s">
        <v>874</v>
      </c>
      <c r="K13" s="26" t="s">
        <v>1268</v>
      </c>
      <c r="L13" s="26" t="s">
        <v>1268</v>
      </c>
      <c r="M13" s="26" t="s">
        <v>290</v>
      </c>
      <c r="P13" s="26" t="s">
        <v>713</v>
      </c>
      <c r="Q13" s="26" t="s">
        <v>137</v>
      </c>
      <c r="R13" s="26" t="s">
        <v>881</v>
      </c>
      <c r="S13" s="26" t="s">
        <v>290</v>
      </c>
      <c r="T13" s="26" t="s">
        <v>1290</v>
      </c>
      <c r="U13" s="26" t="s">
        <v>141</v>
      </c>
      <c r="V13" s="26" t="s">
        <v>290</v>
      </c>
      <c r="W13" s="26" t="s">
        <v>1080</v>
      </c>
      <c r="X13" s="26" t="s">
        <v>256</v>
      </c>
      <c r="Y13" s="26" t="s">
        <v>253</v>
      </c>
      <c r="Z13" s="26" t="s">
        <v>1159</v>
      </c>
      <c r="AA13" s="26" t="s">
        <v>141</v>
      </c>
    </row>
    <row r="14" spans="1:27">
      <c r="B14" s="115"/>
      <c r="C14" s="111">
        <v>600</v>
      </c>
      <c r="D14" s="115">
        <v>500</v>
      </c>
      <c r="E14" s="115">
        <v>800</v>
      </c>
      <c r="F14" s="115">
        <v>1700</v>
      </c>
      <c r="G14" s="115">
        <v>700</v>
      </c>
      <c r="H14" s="115">
        <v>1600</v>
      </c>
      <c r="I14" s="115">
        <v>1800</v>
      </c>
      <c r="J14" s="115">
        <v>5000</v>
      </c>
      <c r="K14" s="111">
        <v>1600</v>
      </c>
      <c r="L14" s="111">
        <v>1800</v>
      </c>
      <c r="M14" s="115">
        <v>700</v>
      </c>
      <c r="N14" s="111">
        <f>SUM(B14:M14)</f>
        <v>16800</v>
      </c>
      <c r="O14" s="111">
        <f>SUM(P14:AA14)</f>
        <v>8450</v>
      </c>
      <c r="P14" s="115">
        <v>540</v>
      </c>
      <c r="Q14" s="115">
        <v>800</v>
      </c>
      <c r="R14" s="115">
        <v>1800</v>
      </c>
      <c r="S14" s="115">
        <v>500</v>
      </c>
      <c r="T14" s="111">
        <v>250</v>
      </c>
      <c r="U14" s="115">
        <v>800</v>
      </c>
      <c r="V14" s="115">
        <v>200</v>
      </c>
      <c r="W14" s="115">
        <v>1200</v>
      </c>
      <c r="X14" s="115">
        <v>500</v>
      </c>
      <c r="Y14" s="115">
        <v>60</v>
      </c>
      <c r="Z14" s="111">
        <v>1000</v>
      </c>
      <c r="AA14" s="111">
        <v>800</v>
      </c>
    </row>
    <row r="15" spans="1:27" ht="38.25">
      <c r="A15" s="111">
        <v>7</v>
      </c>
      <c r="B15" s="26" t="s">
        <v>1182</v>
      </c>
      <c r="C15" s="26"/>
      <c r="D15" s="26" t="s">
        <v>212</v>
      </c>
      <c r="E15" s="26" t="s">
        <v>290</v>
      </c>
      <c r="F15" s="26" t="s">
        <v>290</v>
      </c>
      <c r="G15" s="26" t="s">
        <v>290</v>
      </c>
      <c r="H15" s="26" t="s">
        <v>290</v>
      </c>
      <c r="I15" s="26" t="s">
        <v>685</v>
      </c>
      <c r="J15" s="132"/>
      <c r="K15" s="132"/>
      <c r="L15" s="132"/>
      <c r="M15" s="26" t="s">
        <v>290</v>
      </c>
      <c r="P15" s="26" t="s">
        <v>713</v>
      </c>
      <c r="Q15" s="26"/>
      <c r="R15" s="81" t="s">
        <v>1173</v>
      </c>
      <c r="S15" s="26" t="s">
        <v>1247</v>
      </c>
      <c r="T15" s="26" t="s">
        <v>1293</v>
      </c>
      <c r="U15" s="26" t="s">
        <v>757</v>
      </c>
      <c r="V15" s="26" t="s">
        <v>290</v>
      </c>
      <c r="W15" s="26" t="s">
        <v>141</v>
      </c>
      <c r="X15" s="26" t="s">
        <v>544</v>
      </c>
      <c r="Y15" s="26"/>
      <c r="Z15" s="26"/>
      <c r="AA15" s="81" t="s">
        <v>943</v>
      </c>
    </row>
    <row r="16" spans="1:27" ht="15.75" thickBot="1">
      <c r="B16" s="115">
        <v>900</v>
      </c>
      <c r="C16" s="115"/>
      <c r="D16" s="115">
        <v>350</v>
      </c>
      <c r="E16" s="115">
        <v>400</v>
      </c>
      <c r="F16" s="115">
        <v>400</v>
      </c>
      <c r="G16" s="115">
        <v>400</v>
      </c>
      <c r="H16" s="115">
        <v>400</v>
      </c>
      <c r="I16" s="115">
        <v>250</v>
      </c>
      <c r="J16" s="115"/>
      <c r="K16" s="115"/>
      <c r="L16" s="115"/>
      <c r="M16" s="115">
        <v>201</v>
      </c>
      <c r="N16" s="111">
        <f>SUM(B16:M16)</f>
        <v>3301</v>
      </c>
      <c r="O16" s="111">
        <f>SUM(P16:AA16)</f>
        <v>2330</v>
      </c>
      <c r="P16" s="115">
        <v>150</v>
      </c>
      <c r="Q16" s="115"/>
      <c r="R16" s="115">
        <v>30</v>
      </c>
      <c r="S16" s="115">
        <v>20</v>
      </c>
      <c r="T16" s="115">
        <v>100</v>
      </c>
      <c r="U16" s="115">
        <v>70</v>
      </c>
      <c r="V16" s="115">
        <v>200</v>
      </c>
      <c r="W16" s="115">
        <v>160</v>
      </c>
      <c r="X16" s="115">
        <v>1200</v>
      </c>
      <c r="Y16" s="115"/>
      <c r="Z16" s="115"/>
      <c r="AA16" s="115">
        <v>400</v>
      </c>
    </row>
    <row r="17" spans="1:27" ht="15.75" thickBot="1">
      <c r="N17" s="113">
        <f>SUM(N4:N16)</f>
        <v>56533</v>
      </c>
      <c r="O17" s="113">
        <f>SUM(O4:O16)</f>
        <v>39980</v>
      </c>
    </row>
    <row r="18" spans="1:27">
      <c r="B18" s="159" t="s">
        <v>1294</v>
      </c>
      <c r="P18" s="159" t="s">
        <v>1294</v>
      </c>
    </row>
    <row r="19" spans="1:27" ht="18.75">
      <c r="B19" s="160" t="s">
        <v>1282</v>
      </c>
      <c r="P19" s="160" t="s">
        <v>1283</v>
      </c>
    </row>
    <row r="20" spans="1:27" ht="56.25">
      <c r="A20" s="111">
        <v>1</v>
      </c>
      <c r="B20" s="26" t="s">
        <v>1152</v>
      </c>
      <c r="C20" s="132" t="s">
        <v>753</v>
      </c>
      <c r="D20" s="26" t="s">
        <v>729</v>
      </c>
      <c r="E20" s="26" t="s">
        <v>361</v>
      </c>
      <c r="F20" s="26" t="s">
        <v>729</v>
      </c>
      <c r="G20" s="26" t="s">
        <v>361</v>
      </c>
      <c r="H20" s="26" t="s">
        <v>729</v>
      </c>
      <c r="I20" s="26"/>
      <c r="J20" s="26" t="s">
        <v>729</v>
      </c>
      <c r="K20" s="26" t="s">
        <v>729</v>
      </c>
      <c r="L20" s="26" t="s">
        <v>1268</v>
      </c>
      <c r="M20" s="26" t="s">
        <v>1182</v>
      </c>
      <c r="P20" s="132"/>
      <c r="Q20" s="26" t="s">
        <v>883</v>
      </c>
      <c r="R20" s="26" t="s">
        <v>141</v>
      </c>
      <c r="S20" s="26" t="s">
        <v>393</v>
      </c>
      <c r="T20" s="132" t="s">
        <v>753</v>
      </c>
      <c r="U20" s="26" t="s">
        <v>393</v>
      </c>
      <c r="V20" s="26" t="s">
        <v>438</v>
      </c>
      <c r="W20" s="26" t="s">
        <v>1295</v>
      </c>
      <c r="X20" s="26" t="s">
        <v>1092</v>
      </c>
      <c r="Y20" s="26" t="s">
        <v>431</v>
      </c>
      <c r="Z20" s="26"/>
      <c r="AA20" s="26"/>
    </row>
    <row r="21" spans="1:27">
      <c r="B21" s="115">
        <v>500</v>
      </c>
      <c r="C21" s="111">
        <v>500</v>
      </c>
      <c r="D21" s="161">
        <v>500</v>
      </c>
      <c r="E21" s="161">
        <v>500</v>
      </c>
      <c r="F21" s="161">
        <v>1000</v>
      </c>
      <c r="G21" s="161">
        <v>1000</v>
      </c>
      <c r="H21" s="161">
        <v>1500</v>
      </c>
      <c r="I21" s="115"/>
      <c r="J21" s="161">
        <v>2000</v>
      </c>
      <c r="K21" s="161">
        <v>2000</v>
      </c>
      <c r="L21" s="115">
        <v>1800</v>
      </c>
      <c r="M21" s="115">
        <v>1000</v>
      </c>
      <c r="N21" s="111">
        <f>SUM(B21:M21)</f>
        <v>12300</v>
      </c>
      <c r="O21" s="111">
        <f>SUM(P21:AA21)</f>
        <v>8150</v>
      </c>
      <c r="P21" s="115"/>
      <c r="Q21" s="115">
        <v>1500</v>
      </c>
      <c r="R21" s="115">
        <v>500</v>
      </c>
      <c r="S21" s="115">
        <v>1000</v>
      </c>
      <c r="T21" s="115">
        <v>1600</v>
      </c>
      <c r="U21" s="115">
        <v>1500</v>
      </c>
      <c r="V21" s="115">
        <v>700</v>
      </c>
      <c r="W21" s="115">
        <v>150</v>
      </c>
      <c r="X21" s="115">
        <v>800</v>
      </c>
      <c r="Y21" s="115">
        <v>400</v>
      </c>
      <c r="Z21" s="115"/>
      <c r="AA21" s="115"/>
    </row>
    <row r="22" spans="1:27" ht="51">
      <c r="A22" s="111">
        <v>2</v>
      </c>
      <c r="B22" s="26" t="s">
        <v>393</v>
      </c>
      <c r="C22" s="26" t="s">
        <v>729</v>
      </c>
      <c r="D22" s="26" t="s">
        <v>256</v>
      </c>
      <c r="E22" s="26" t="s">
        <v>656</v>
      </c>
      <c r="F22" s="26" t="s">
        <v>656</v>
      </c>
      <c r="G22" s="132"/>
      <c r="H22" s="26" t="s">
        <v>656</v>
      </c>
      <c r="I22" s="26" t="s">
        <v>393</v>
      </c>
      <c r="J22" s="26" t="s">
        <v>393</v>
      </c>
      <c r="K22" s="26" t="s">
        <v>431</v>
      </c>
      <c r="L22" s="26" t="s">
        <v>393</v>
      </c>
      <c r="M22" s="26" t="s">
        <v>1182</v>
      </c>
      <c r="P22" s="26" t="s">
        <v>1182</v>
      </c>
      <c r="Q22" s="26" t="s">
        <v>361</v>
      </c>
      <c r="R22" s="26" t="s">
        <v>256</v>
      </c>
      <c r="S22" s="26" t="s">
        <v>1092</v>
      </c>
      <c r="T22" s="26" t="s">
        <v>1092</v>
      </c>
      <c r="U22" s="26" t="s">
        <v>1092</v>
      </c>
      <c r="V22" s="26" t="s">
        <v>1092</v>
      </c>
      <c r="W22" s="26" t="s">
        <v>729</v>
      </c>
      <c r="X22" s="26" t="s">
        <v>1270</v>
      </c>
      <c r="Y22" s="26" t="s">
        <v>1182</v>
      </c>
      <c r="Z22" s="26" t="s">
        <v>1194</v>
      </c>
      <c r="AA22" s="26" t="s">
        <v>1194</v>
      </c>
    </row>
    <row r="23" spans="1:27">
      <c r="B23" s="115">
        <v>300</v>
      </c>
      <c r="C23" s="161">
        <v>1000</v>
      </c>
      <c r="D23" s="115">
        <v>1000</v>
      </c>
      <c r="E23" s="115">
        <v>1000</v>
      </c>
      <c r="F23" s="115">
        <v>600</v>
      </c>
      <c r="G23" s="115"/>
      <c r="H23" s="115"/>
      <c r="I23" s="111">
        <v>1000</v>
      </c>
      <c r="J23" s="115">
        <v>1000</v>
      </c>
      <c r="K23" s="115">
        <v>1000</v>
      </c>
      <c r="L23" s="115">
        <v>800</v>
      </c>
      <c r="M23" s="115">
        <v>800</v>
      </c>
      <c r="N23" s="111">
        <f>SUM(B23:M23)</f>
        <v>8500</v>
      </c>
      <c r="O23" s="111">
        <f>SUM(P23:AA23)</f>
        <v>9400</v>
      </c>
      <c r="P23" s="115">
        <v>700</v>
      </c>
      <c r="Q23" s="115">
        <v>800</v>
      </c>
      <c r="R23" s="115">
        <v>500</v>
      </c>
      <c r="S23" s="115">
        <v>800</v>
      </c>
      <c r="T23" s="115">
        <v>600</v>
      </c>
      <c r="U23" s="115">
        <v>800</v>
      </c>
      <c r="V23" s="115">
        <v>800</v>
      </c>
      <c r="W23" s="161">
        <v>500</v>
      </c>
      <c r="X23" s="111">
        <v>1500</v>
      </c>
      <c r="Y23" s="115">
        <v>700</v>
      </c>
      <c r="Z23" s="111">
        <v>800</v>
      </c>
      <c r="AA23" s="111">
        <v>900</v>
      </c>
    </row>
    <row r="24" spans="1:27" ht="38.25">
      <c r="A24" s="111">
        <v>3</v>
      </c>
      <c r="B24" s="26" t="s">
        <v>883</v>
      </c>
      <c r="C24" s="26" t="s">
        <v>438</v>
      </c>
      <c r="D24" s="26" t="s">
        <v>815</v>
      </c>
      <c r="E24" s="26" t="s">
        <v>729</v>
      </c>
      <c r="F24" s="26" t="s">
        <v>817</v>
      </c>
      <c r="G24" s="26" t="s">
        <v>393</v>
      </c>
      <c r="H24" s="26" t="s">
        <v>729</v>
      </c>
      <c r="I24" s="26" t="s">
        <v>729</v>
      </c>
      <c r="J24" s="26" t="s">
        <v>729</v>
      </c>
      <c r="K24" s="26" t="s">
        <v>844</v>
      </c>
      <c r="L24" s="26" t="s">
        <v>1268</v>
      </c>
      <c r="M24" s="26" t="s">
        <v>1182</v>
      </c>
      <c r="P24" s="26" t="s">
        <v>1182</v>
      </c>
      <c r="Q24" s="26" t="s">
        <v>361</v>
      </c>
      <c r="R24" s="26" t="s">
        <v>1268</v>
      </c>
      <c r="S24" s="26" t="s">
        <v>1092</v>
      </c>
      <c r="T24" s="26" t="s">
        <v>393</v>
      </c>
      <c r="U24" s="26" t="s">
        <v>393</v>
      </c>
      <c r="V24" s="26" t="s">
        <v>1268</v>
      </c>
      <c r="W24" s="26" t="s">
        <v>1268</v>
      </c>
      <c r="X24" s="26" t="s">
        <v>729</v>
      </c>
      <c r="Y24" s="26" t="s">
        <v>729</v>
      </c>
      <c r="Z24" s="26" t="s">
        <v>729</v>
      </c>
      <c r="AA24" s="26" t="s">
        <v>729</v>
      </c>
    </row>
    <row r="25" spans="1:27">
      <c r="B25" s="115">
        <v>500</v>
      </c>
      <c r="C25" s="115">
        <v>500</v>
      </c>
      <c r="D25" s="115">
        <v>2000</v>
      </c>
      <c r="E25" s="111">
        <v>300</v>
      </c>
      <c r="F25" s="115">
        <v>1000</v>
      </c>
      <c r="G25" s="115">
        <v>1000</v>
      </c>
      <c r="H25" s="115">
        <v>1000</v>
      </c>
      <c r="I25" s="115">
        <v>1000</v>
      </c>
      <c r="J25" s="115">
        <v>1000</v>
      </c>
      <c r="K25" s="115">
        <v>1000</v>
      </c>
      <c r="L25" s="115">
        <v>1300</v>
      </c>
      <c r="M25" s="115">
        <v>1000</v>
      </c>
      <c r="N25" s="111">
        <f>SUM(B25:M25)</f>
        <v>11600</v>
      </c>
      <c r="O25" s="111">
        <f>SUM(P25:AA25)</f>
        <v>11900</v>
      </c>
      <c r="P25" s="115">
        <v>800</v>
      </c>
      <c r="Q25" s="111">
        <v>1000</v>
      </c>
      <c r="R25" s="111">
        <v>1000</v>
      </c>
      <c r="S25" s="115">
        <v>400</v>
      </c>
      <c r="T25" s="115">
        <v>1000</v>
      </c>
      <c r="U25" s="115">
        <v>1000</v>
      </c>
      <c r="V25" s="115">
        <v>1200</v>
      </c>
      <c r="W25" s="115">
        <v>1000</v>
      </c>
      <c r="X25" s="161">
        <v>900</v>
      </c>
      <c r="Y25" s="161">
        <v>900</v>
      </c>
      <c r="Z25" s="161">
        <v>900</v>
      </c>
      <c r="AA25" s="161">
        <v>1800</v>
      </c>
    </row>
    <row r="26" spans="1:27" ht="56.25">
      <c r="A26" s="111">
        <v>4</v>
      </c>
      <c r="B26" s="26" t="s">
        <v>393</v>
      </c>
      <c r="C26" s="26" t="s">
        <v>438</v>
      </c>
      <c r="D26" s="26" t="s">
        <v>141</v>
      </c>
      <c r="E26" s="26" t="s">
        <v>729</v>
      </c>
      <c r="F26" s="26" t="s">
        <v>393</v>
      </c>
      <c r="G26" s="26" t="s">
        <v>1135</v>
      </c>
      <c r="H26" s="26" t="s">
        <v>646</v>
      </c>
      <c r="I26" s="26" t="s">
        <v>815</v>
      </c>
      <c r="J26" s="26" t="s">
        <v>315</v>
      </c>
      <c r="K26" s="26" t="s">
        <v>729</v>
      </c>
      <c r="L26" s="26" t="s">
        <v>393</v>
      </c>
      <c r="M26" s="26" t="s">
        <v>685</v>
      </c>
      <c r="P26" s="26" t="s">
        <v>713</v>
      </c>
      <c r="Q26" s="26" t="s">
        <v>361</v>
      </c>
      <c r="R26" s="132" t="s">
        <v>753</v>
      </c>
      <c r="S26" s="26" t="s">
        <v>1235</v>
      </c>
      <c r="T26" s="26" t="s">
        <v>1268</v>
      </c>
      <c r="U26" s="26"/>
      <c r="V26" s="26" t="s">
        <v>393</v>
      </c>
      <c r="W26" s="26" t="s">
        <v>1268</v>
      </c>
      <c r="X26" s="26" t="s">
        <v>1268</v>
      </c>
      <c r="Y26" s="26" t="s">
        <v>1268</v>
      </c>
      <c r="Z26" s="26" t="s">
        <v>1268</v>
      </c>
      <c r="AA26" s="26"/>
    </row>
    <row r="27" spans="1:27">
      <c r="B27" s="115">
        <v>700</v>
      </c>
      <c r="C27" s="111">
        <v>1000</v>
      </c>
      <c r="D27" s="111">
        <v>800</v>
      </c>
      <c r="E27" s="115">
        <v>800</v>
      </c>
      <c r="F27" s="115">
        <v>500</v>
      </c>
      <c r="G27" s="115">
        <v>150</v>
      </c>
      <c r="H27" s="115">
        <v>50</v>
      </c>
      <c r="I27" s="115">
        <v>1500</v>
      </c>
      <c r="J27" s="115">
        <v>60</v>
      </c>
      <c r="K27" s="161">
        <v>1000</v>
      </c>
      <c r="L27" s="111">
        <v>1600</v>
      </c>
      <c r="M27" s="115">
        <v>500</v>
      </c>
      <c r="N27" s="111">
        <f>SUM(B27:M27)</f>
        <v>8660</v>
      </c>
      <c r="O27" s="111">
        <f t="shared" ref="O27:O31" si="1">SUM(P27:AA27)</f>
        <v>5950</v>
      </c>
      <c r="P27" s="115"/>
      <c r="Q27" s="111">
        <v>200</v>
      </c>
      <c r="R27" s="115">
        <v>200</v>
      </c>
      <c r="S27" s="115">
        <v>350</v>
      </c>
      <c r="T27" s="115">
        <v>1000</v>
      </c>
      <c r="U27" s="115"/>
      <c r="V27" s="115">
        <v>1000</v>
      </c>
      <c r="W27" s="115">
        <v>800</v>
      </c>
      <c r="X27" s="115">
        <v>800</v>
      </c>
      <c r="Y27" s="115">
        <v>800</v>
      </c>
      <c r="Z27" s="115">
        <v>800</v>
      </c>
      <c r="AA27" s="115"/>
    </row>
    <row r="28" spans="1:27" ht="56.25">
      <c r="A28" s="111">
        <v>5</v>
      </c>
      <c r="B28" s="26" t="s">
        <v>883</v>
      </c>
      <c r="C28" s="26"/>
      <c r="D28" s="26"/>
      <c r="E28" s="26" t="s">
        <v>1263</v>
      </c>
      <c r="F28" s="26"/>
      <c r="G28" s="132" t="s">
        <v>753</v>
      </c>
      <c r="H28" s="26" t="s">
        <v>817</v>
      </c>
      <c r="I28" s="26"/>
      <c r="J28" s="26"/>
      <c r="K28" s="26" t="s">
        <v>393</v>
      </c>
      <c r="L28" s="132" t="s">
        <v>753</v>
      </c>
      <c r="M28" s="26" t="s">
        <v>685</v>
      </c>
      <c r="P28" s="26" t="s">
        <v>141</v>
      </c>
      <c r="Q28" s="132" t="s">
        <v>753</v>
      </c>
      <c r="R28" s="26" t="s">
        <v>1182</v>
      </c>
      <c r="S28" s="26" t="s">
        <v>1182</v>
      </c>
      <c r="T28" s="26" t="s">
        <v>393</v>
      </c>
      <c r="U28" s="26" t="s">
        <v>393</v>
      </c>
      <c r="V28" s="26" t="s">
        <v>393</v>
      </c>
      <c r="W28" s="132" t="s">
        <v>753</v>
      </c>
      <c r="X28" s="26" t="s">
        <v>393</v>
      </c>
      <c r="Y28" s="132" t="s">
        <v>753</v>
      </c>
      <c r="Z28" s="26" t="s">
        <v>1159</v>
      </c>
      <c r="AA28" s="132"/>
    </row>
    <row r="29" spans="1:27">
      <c r="B29" s="115">
        <v>300</v>
      </c>
      <c r="C29" s="115"/>
      <c r="D29" s="115"/>
      <c r="E29" s="115">
        <v>300</v>
      </c>
      <c r="F29" s="115"/>
      <c r="G29" s="115">
        <v>200</v>
      </c>
      <c r="H29" s="115">
        <v>400</v>
      </c>
      <c r="I29" s="115"/>
      <c r="J29" s="115"/>
      <c r="K29" s="115">
        <v>1000</v>
      </c>
      <c r="L29" s="115">
        <v>600</v>
      </c>
      <c r="M29" s="115">
        <v>500</v>
      </c>
      <c r="N29" s="111">
        <f>SUM(B29:M29)</f>
        <v>3300</v>
      </c>
      <c r="O29" s="111">
        <f>SUM(P29:AA29)</f>
        <v>5100</v>
      </c>
      <c r="P29" s="115">
        <v>500</v>
      </c>
      <c r="Q29" s="115">
        <v>400</v>
      </c>
      <c r="R29" s="115">
        <v>600</v>
      </c>
      <c r="S29" s="115">
        <v>600</v>
      </c>
      <c r="T29" s="115">
        <v>600</v>
      </c>
      <c r="U29" s="115">
        <v>600</v>
      </c>
      <c r="V29" s="115">
        <v>400</v>
      </c>
      <c r="W29" s="115">
        <v>400</v>
      </c>
      <c r="X29" s="111">
        <v>500</v>
      </c>
      <c r="Y29" s="115">
        <v>300</v>
      </c>
      <c r="Z29" s="115">
        <v>200</v>
      </c>
      <c r="AA29" s="115"/>
    </row>
    <row r="30" spans="1:27" ht="56.25">
      <c r="A30" s="111">
        <v>6</v>
      </c>
      <c r="B30" s="26" t="s">
        <v>393</v>
      </c>
      <c r="C30" s="26" t="s">
        <v>729</v>
      </c>
      <c r="D30" s="26" t="s">
        <v>256</v>
      </c>
      <c r="E30" s="26" t="s">
        <v>361</v>
      </c>
      <c r="F30" s="26" t="s">
        <v>729</v>
      </c>
      <c r="G30" s="26" t="s">
        <v>729</v>
      </c>
      <c r="H30" s="26" t="s">
        <v>361</v>
      </c>
      <c r="I30" s="26" t="s">
        <v>361</v>
      </c>
      <c r="J30" s="26" t="s">
        <v>361</v>
      </c>
      <c r="K30" s="26" t="s">
        <v>361</v>
      </c>
      <c r="L30" s="81" t="s">
        <v>521</v>
      </c>
      <c r="M30" s="81"/>
      <c r="P30" s="132" t="s">
        <v>753</v>
      </c>
      <c r="Q30" s="81" t="s">
        <v>521</v>
      </c>
      <c r="R30" s="26" t="s">
        <v>729</v>
      </c>
      <c r="S30" s="26" t="s">
        <v>729</v>
      </c>
      <c r="T30" s="81" t="s">
        <v>521</v>
      </c>
      <c r="U30" s="26" t="s">
        <v>729</v>
      </c>
      <c r="V30" s="26" t="s">
        <v>729</v>
      </c>
      <c r="W30" s="26" t="s">
        <v>729</v>
      </c>
      <c r="X30" s="26" t="s">
        <v>729</v>
      </c>
      <c r="Y30" s="26" t="s">
        <v>729</v>
      </c>
      <c r="Z30" s="81" t="s">
        <v>521</v>
      </c>
      <c r="AA30" s="26"/>
    </row>
    <row r="31" spans="1:27">
      <c r="B31" s="115">
        <v>400</v>
      </c>
      <c r="C31" s="115">
        <v>400</v>
      </c>
      <c r="D31" s="115">
        <v>500</v>
      </c>
      <c r="E31" s="115">
        <v>400</v>
      </c>
      <c r="F31" s="115">
        <v>400</v>
      </c>
      <c r="G31" s="115">
        <v>400</v>
      </c>
      <c r="H31" s="115">
        <v>500</v>
      </c>
      <c r="I31" s="115">
        <v>500</v>
      </c>
      <c r="J31" s="115">
        <v>500</v>
      </c>
      <c r="K31" s="115">
        <v>500</v>
      </c>
      <c r="L31" s="115">
        <v>400</v>
      </c>
      <c r="M31" s="115"/>
      <c r="N31" s="111">
        <f>SUM(B31:M31)</f>
        <v>4900</v>
      </c>
      <c r="O31" s="111">
        <f t="shared" si="1"/>
        <v>4400</v>
      </c>
      <c r="P31" s="115">
        <v>400</v>
      </c>
      <c r="Q31" s="115">
        <v>400</v>
      </c>
      <c r="R31" s="115">
        <v>400</v>
      </c>
      <c r="S31" s="115">
        <v>400</v>
      </c>
      <c r="T31" s="115">
        <v>400</v>
      </c>
      <c r="U31" s="115">
        <v>400</v>
      </c>
      <c r="V31" s="115">
        <v>400</v>
      </c>
      <c r="W31" s="115">
        <v>400</v>
      </c>
      <c r="X31" s="115">
        <v>400</v>
      </c>
      <c r="Y31" s="115">
        <v>400</v>
      </c>
      <c r="Z31" s="115">
        <v>400</v>
      </c>
      <c r="AA31" s="115"/>
    </row>
    <row r="32" spans="1:27" ht="15.75" thickBot="1">
      <c r="A32" s="111">
        <v>7</v>
      </c>
    </row>
    <row r="33" spans="2:27" ht="39" thickBot="1">
      <c r="B33" s="26" t="s">
        <v>1289</v>
      </c>
      <c r="C33" s="26" t="s">
        <v>879</v>
      </c>
      <c r="D33" s="26" t="s">
        <v>883</v>
      </c>
      <c r="E33" s="26" t="s">
        <v>881</v>
      </c>
      <c r="F33" s="26" t="s">
        <v>729</v>
      </c>
      <c r="G33" s="26" t="s">
        <v>1259</v>
      </c>
      <c r="H33" s="26" t="s">
        <v>865</v>
      </c>
      <c r="I33" s="26" t="s">
        <v>383</v>
      </c>
      <c r="J33" s="26" t="s">
        <v>141</v>
      </c>
      <c r="L33" s="116" t="s">
        <v>1350</v>
      </c>
      <c r="P33" s="116" t="s">
        <v>1351</v>
      </c>
    </row>
    <row r="34" spans="2:27" ht="15.75" thickBot="1">
      <c r="B34" s="115">
        <v>150</v>
      </c>
      <c r="C34" s="115">
        <v>14800</v>
      </c>
      <c r="D34" s="115">
        <v>1990</v>
      </c>
      <c r="E34" s="115">
        <v>1850</v>
      </c>
      <c r="F34" s="115">
        <v>3000</v>
      </c>
      <c r="G34" s="115">
        <v>328</v>
      </c>
      <c r="H34" s="115">
        <v>1228</v>
      </c>
      <c r="I34" s="115">
        <f>3645+1400</f>
        <v>5045</v>
      </c>
      <c r="J34" s="115">
        <v>3220</v>
      </c>
      <c r="L34" s="113">
        <f>SUM(B34:J34)</f>
        <v>31611</v>
      </c>
      <c r="N34" s="113">
        <f>SUM(N21:N33)</f>
        <v>49260</v>
      </c>
      <c r="O34" s="113">
        <f>SUM(O21:O33)</f>
        <v>44900</v>
      </c>
    </row>
    <row r="35" spans="2:27" ht="39" thickBot="1">
      <c r="B35" s="26" t="s">
        <v>414</v>
      </c>
      <c r="C35" s="22"/>
      <c r="D35" s="22"/>
      <c r="E35" s="22" t="s">
        <v>1355</v>
      </c>
      <c r="F35" s="22" t="s">
        <v>1356</v>
      </c>
      <c r="G35" s="22" t="s">
        <v>1357</v>
      </c>
      <c r="H35" s="22" t="s">
        <v>1359</v>
      </c>
      <c r="I35" s="22" t="s">
        <v>1358</v>
      </c>
      <c r="L35" s="166" t="s">
        <v>1353</v>
      </c>
      <c r="P35" s="26" t="s">
        <v>1163</v>
      </c>
      <c r="Q35" s="26" t="s">
        <v>1163</v>
      </c>
      <c r="R35" s="26" t="s">
        <v>1163</v>
      </c>
      <c r="S35" s="26" t="s">
        <v>141</v>
      </c>
      <c r="T35" s="26" t="s">
        <v>141</v>
      </c>
      <c r="U35" s="26" t="s">
        <v>141</v>
      </c>
      <c r="V35" s="26" t="s">
        <v>141</v>
      </c>
      <c r="W35" s="26" t="s">
        <v>141</v>
      </c>
      <c r="X35" s="26" t="s">
        <v>141</v>
      </c>
      <c r="Y35" s="26" t="s">
        <v>141</v>
      </c>
      <c r="Z35" s="26"/>
      <c r="AA35" s="81"/>
    </row>
    <row r="36" spans="2:27" ht="15.75" thickBot="1">
      <c r="B36" s="111">
        <f>430*16</f>
        <v>6880</v>
      </c>
      <c r="E36" s="111">
        <v>80</v>
      </c>
      <c r="F36" s="111">
        <v>50</v>
      </c>
      <c r="G36" s="111">
        <v>30</v>
      </c>
      <c r="H36" s="111">
        <v>30</v>
      </c>
      <c r="I36" s="111">
        <v>100</v>
      </c>
      <c r="L36" s="113">
        <f>SUM(B36:I36)</f>
        <v>7170</v>
      </c>
      <c r="O36" s="111">
        <f>SUM(P36:AA36)</f>
        <v>5200</v>
      </c>
      <c r="P36" s="115">
        <v>200</v>
      </c>
      <c r="Q36" s="115">
        <v>700</v>
      </c>
      <c r="R36" s="115">
        <v>700</v>
      </c>
      <c r="S36" s="115">
        <v>300</v>
      </c>
      <c r="T36" s="115">
        <v>400</v>
      </c>
      <c r="U36" s="115">
        <v>500</v>
      </c>
      <c r="V36" s="115">
        <v>500</v>
      </c>
      <c r="W36" s="115">
        <v>500</v>
      </c>
      <c r="X36" s="115">
        <v>700</v>
      </c>
      <c r="Y36" s="115">
        <v>700</v>
      </c>
      <c r="Z36" s="115"/>
      <c r="AA36" s="115"/>
    </row>
    <row r="37" spans="2:27" ht="57" thickBot="1">
      <c r="B37" s="22" t="s">
        <v>517</v>
      </c>
      <c r="C37" s="26" t="s">
        <v>729</v>
      </c>
      <c r="D37" s="132" t="s">
        <v>753</v>
      </c>
      <c r="E37" s="132" t="s">
        <v>753</v>
      </c>
      <c r="F37" s="132" t="s">
        <v>1360</v>
      </c>
      <c r="P37" s="26" t="s">
        <v>383</v>
      </c>
      <c r="Q37" s="26" t="s">
        <v>141</v>
      </c>
      <c r="R37" s="26" t="s">
        <v>141</v>
      </c>
      <c r="S37" s="26" t="s">
        <v>141</v>
      </c>
      <c r="T37" s="26" t="s">
        <v>141</v>
      </c>
      <c r="U37" s="26" t="s">
        <v>141</v>
      </c>
      <c r="V37" s="26" t="s">
        <v>141</v>
      </c>
      <c r="W37" s="26" t="s">
        <v>141</v>
      </c>
      <c r="X37" s="26" t="s">
        <v>1270</v>
      </c>
      <c r="Y37" s="26" t="s">
        <v>141</v>
      </c>
      <c r="Z37" s="81" t="s">
        <v>521</v>
      </c>
      <c r="AA37" s="81" t="s">
        <v>521</v>
      </c>
    </row>
    <row r="38" spans="2:27" ht="15.75" thickBot="1">
      <c r="B38" s="111">
        <v>500</v>
      </c>
      <c r="C38" s="111">
        <f>500*7</f>
        <v>3500</v>
      </c>
      <c r="D38" s="111">
        <f>500*2</f>
        <v>1000</v>
      </c>
      <c r="E38" s="111">
        <f>430*9</f>
        <v>3870</v>
      </c>
      <c r="F38" s="111">
        <v>100</v>
      </c>
      <c r="L38" s="113">
        <f>SUM(B38:K38)</f>
        <v>8970</v>
      </c>
      <c r="O38" s="111">
        <f>SUM(P38:AA38)</f>
        <v>22900</v>
      </c>
      <c r="P38" s="26">
        <v>1700</v>
      </c>
      <c r="Q38" s="115">
        <v>1000</v>
      </c>
      <c r="R38" s="115">
        <v>1000</v>
      </c>
      <c r="S38" s="115">
        <v>1000</v>
      </c>
      <c r="T38" s="115">
        <v>1000</v>
      </c>
      <c r="U38" s="115">
        <v>1000</v>
      </c>
      <c r="V38" s="115">
        <v>1000</v>
      </c>
      <c r="W38" s="115">
        <v>1500</v>
      </c>
      <c r="X38" s="111">
        <v>800</v>
      </c>
      <c r="Y38" s="115">
        <v>500</v>
      </c>
      <c r="Z38" s="115">
        <v>6200</v>
      </c>
      <c r="AA38" s="115">
        <v>6200</v>
      </c>
    </row>
    <row r="39" spans="2:27" ht="51.75" thickBot="1">
      <c r="B39" s="81" t="s">
        <v>521</v>
      </c>
      <c r="C39" s="81" t="s">
        <v>521</v>
      </c>
      <c r="D39" s="81" t="s">
        <v>521</v>
      </c>
      <c r="L39" s="166" t="s">
        <v>1361</v>
      </c>
      <c r="P39" s="26" t="s">
        <v>383</v>
      </c>
      <c r="Q39" s="26" t="s">
        <v>141</v>
      </c>
      <c r="R39" s="26" t="s">
        <v>141</v>
      </c>
      <c r="S39" s="26" t="s">
        <v>141</v>
      </c>
      <c r="T39" s="26" t="s">
        <v>141</v>
      </c>
      <c r="U39" s="26" t="s">
        <v>141</v>
      </c>
      <c r="V39" s="26" t="s">
        <v>141</v>
      </c>
      <c r="W39" s="26" t="s">
        <v>141</v>
      </c>
      <c r="X39" s="26" t="s">
        <v>1270</v>
      </c>
      <c r="Y39" s="26"/>
      <c r="Z39" s="81" t="s">
        <v>521</v>
      </c>
      <c r="AA39" s="81" t="s">
        <v>521</v>
      </c>
    </row>
    <row r="40" spans="2:27" ht="15.75" thickBot="1">
      <c r="B40" s="111">
        <f>400*22</f>
        <v>8800</v>
      </c>
      <c r="C40" s="111">
        <f>500*11</f>
        <v>5500</v>
      </c>
      <c r="D40" s="111">
        <f>400*4</f>
        <v>1600</v>
      </c>
      <c r="L40" s="113">
        <f>SUM(B40:K40)</f>
        <v>15900</v>
      </c>
      <c r="O40" s="111">
        <f>SUM(P40:AA40)</f>
        <v>9600</v>
      </c>
      <c r="P40" s="115">
        <v>1800</v>
      </c>
      <c r="Q40" s="115">
        <v>600</v>
      </c>
      <c r="R40" s="115">
        <v>600</v>
      </c>
      <c r="S40" s="115">
        <v>500</v>
      </c>
      <c r="T40" s="115">
        <v>500</v>
      </c>
      <c r="U40" s="115">
        <v>500</v>
      </c>
      <c r="V40" s="115">
        <v>500</v>
      </c>
      <c r="W40" s="115">
        <v>500</v>
      </c>
      <c r="X40" s="115">
        <v>700</v>
      </c>
      <c r="Y40" s="115"/>
      <c r="Z40" s="115">
        <v>1700</v>
      </c>
      <c r="AA40" s="115">
        <v>1700</v>
      </c>
    </row>
    <row r="41" spans="2:27" ht="15.75" thickBot="1">
      <c r="M41" s="113">
        <f>O34+N34+O17+N17+N36+O41+L36+L38+L40+L34</f>
        <v>292024</v>
      </c>
      <c r="O41" s="113">
        <f>SUM(O36:O40)</f>
        <v>37700</v>
      </c>
    </row>
    <row r="49" spans="2:13" ht="15.75" thickBot="1"/>
    <row r="50" spans="2:13" ht="15.75" thickBot="1">
      <c r="M50" s="113">
        <f ca="1">SUM(C53:L73)</f>
        <v>292024</v>
      </c>
    </row>
    <row r="51" spans="2:13">
      <c r="M51" s="111">
        <f ca="1">M41-M50</f>
        <v>0</v>
      </c>
    </row>
    <row r="53" spans="2:13" ht="38.25">
      <c r="B53" s="26" t="s">
        <v>141</v>
      </c>
      <c r="C53" s="117">
        <f ca="1">SUMIF(B3:AA49,B53,B4:AA49)</f>
        <v>29680</v>
      </c>
      <c r="E53" s="26" t="s">
        <v>383</v>
      </c>
      <c r="F53" s="117">
        <f ca="1">SUMIF(B3:AA49,E53,B4:AA49)</f>
        <v>8545</v>
      </c>
      <c r="H53" s="26" t="s">
        <v>799</v>
      </c>
      <c r="I53" s="117">
        <f ca="1">SUMIF(B3:AA49,H53,B4:AA49)</f>
        <v>300</v>
      </c>
      <c r="K53" s="26" t="s">
        <v>1152</v>
      </c>
      <c r="L53" s="117">
        <f ca="1">SUMIF(B3:AA49,K53,B4:AA49)</f>
        <v>500</v>
      </c>
    </row>
    <row r="54" spans="2:13" ht="25.5">
      <c r="B54" s="26" t="s">
        <v>137</v>
      </c>
      <c r="C54" s="117">
        <f ca="1">SUMIF(B3:AA49,B54,B4:AA49)</f>
        <v>800</v>
      </c>
      <c r="E54" s="26" t="s">
        <v>544</v>
      </c>
      <c r="F54" s="117">
        <f ca="1">SUMIF(B3:AA49,E54,B4:AA49)</f>
        <v>1200</v>
      </c>
      <c r="H54" s="26" t="s">
        <v>797</v>
      </c>
      <c r="I54" s="117">
        <f ca="1">SUMIF(B3:AA49,H54,B4:AA49)</f>
        <v>200</v>
      </c>
      <c r="K54" s="26" t="s">
        <v>1135</v>
      </c>
      <c r="L54" s="117">
        <f ca="1">SUMIF(B3:AA49,K54,B4:AA49)</f>
        <v>150</v>
      </c>
    </row>
    <row r="55" spans="2:13" ht="38.25">
      <c r="B55" s="26" t="s">
        <v>1293</v>
      </c>
      <c r="C55" s="117">
        <f ca="1">SUMIF(B3:AA49,B55,B4:AA49)</f>
        <v>100</v>
      </c>
      <c r="E55" s="26" t="s">
        <v>1287</v>
      </c>
      <c r="F55" s="117">
        <f ca="1">SUMIF(B3:AA49,E55,B4:AA49)</f>
        <v>860</v>
      </c>
      <c r="H55" s="26" t="s">
        <v>1298</v>
      </c>
      <c r="I55" s="117">
        <f ca="1">SUMIF(B3:AA49,H55,B4:AA49)</f>
        <v>0</v>
      </c>
      <c r="K55" s="26" t="s">
        <v>1159</v>
      </c>
      <c r="L55" s="117">
        <f ca="1">SUMIF(B3:AA49,K55,B4:AA49)</f>
        <v>1800</v>
      </c>
    </row>
    <row r="56" spans="2:13" ht="38.25">
      <c r="B56" s="26" t="s">
        <v>1286</v>
      </c>
      <c r="C56" s="117">
        <f ca="1">SUMIF(B3:AA49,B56,B4:AA49)</f>
        <v>100</v>
      </c>
      <c r="E56" s="26" t="s">
        <v>1288</v>
      </c>
      <c r="F56" s="117">
        <f ca="1">SUMIF(B3:AA49,E56,B4:AA49)</f>
        <v>50</v>
      </c>
      <c r="H56" s="26" t="s">
        <v>844</v>
      </c>
      <c r="I56" s="117">
        <f ca="1">SUMIF(B3:AA49,H56,B4:AA49)</f>
        <v>1300</v>
      </c>
      <c r="K56" s="26" t="s">
        <v>1163</v>
      </c>
      <c r="L56" s="117">
        <f>SUMIF(B3:AA44,K56,B4:AA49)</f>
        <v>1600</v>
      </c>
    </row>
    <row r="57" spans="2:13" ht="51">
      <c r="B57" s="26" t="s">
        <v>212</v>
      </c>
      <c r="C57" s="117">
        <f ca="1">SUMIF(B3:AA49,B57,B4:AA49)</f>
        <v>350</v>
      </c>
      <c r="E57" s="26" t="s">
        <v>566</v>
      </c>
      <c r="F57" s="117">
        <f ca="1">SUMIF(B3:AA49,E57,B4:AA49)</f>
        <v>400</v>
      </c>
      <c r="H57" s="26" t="s">
        <v>865</v>
      </c>
      <c r="I57" s="117">
        <f ca="1">SUMIF(B3:AA49,H57,B4:AA49)</f>
        <v>1228</v>
      </c>
      <c r="K57" s="26" t="s">
        <v>1290</v>
      </c>
      <c r="L57" s="117">
        <f ca="1">SUMIF(B3:AA49,K57,B4:AA49)</f>
        <v>420</v>
      </c>
    </row>
    <row r="58" spans="2:13" ht="51">
      <c r="B58" s="26" t="s">
        <v>214</v>
      </c>
      <c r="C58" s="117">
        <f ca="1">SUMIF(B3:AA49,B58,B4:AA49)</f>
        <v>250</v>
      </c>
      <c r="E58" s="26" t="s">
        <v>1291</v>
      </c>
      <c r="F58" s="117">
        <f ca="1">SUMIF(B3:AA49,E58,B4:AA49)</f>
        <v>300</v>
      </c>
      <c r="H58" s="26" t="s">
        <v>879</v>
      </c>
      <c r="I58" s="117">
        <f ca="1">SUMIF(B3:AA49,H58,B4:AA49)</f>
        <v>14800</v>
      </c>
      <c r="K58" s="26" t="s">
        <v>1092</v>
      </c>
      <c r="L58" s="117">
        <f ca="1">SUMIF(B3:AA49,K58,B4:AA49)</f>
        <v>4200</v>
      </c>
    </row>
    <row r="59" spans="2:13" ht="25.5">
      <c r="B59" s="26" t="s">
        <v>290</v>
      </c>
      <c r="C59" s="117">
        <f ca="1">SUMIF(B3:AA49,B59,B4:AA49)</f>
        <v>7591</v>
      </c>
      <c r="E59" s="26" t="s">
        <v>646</v>
      </c>
      <c r="F59" s="117">
        <f ca="1">SUMIF(B3:AA49,E59,B4:AA49)</f>
        <v>50</v>
      </c>
      <c r="H59" s="26" t="s">
        <v>883</v>
      </c>
      <c r="I59" s="117">
        <f ca="1">SUMIF(B3:AA49,H59,B4:AA49)</f>
        <v>4290</v>
      </c>
      <c r="K59" s="26" t="s">
        <v>1096</v>
      </c>
      <c r="L59" s="117">
        <f ca="1">SUMIF(B3:AA49,K59,B4:AA49)</f>
        <v>0</v>
      </c>
    </row>
    <row r="60" spans="2:13" ht="51">
      <c r="B60" s="26" t="s">
        <v>256</v>
      </c>
      <c r="C60" s="117">
        <f ca="1">SUMIF(B3:AA49,B60,B4:AA49)</f>
        <v>2500</v>
      </c>
      <c r="E60" s="26" t="s">
        <v>656</v>
      </c>
      <c r="F60" s="117">
        <f ca="1">SUMIF(B3:AA49,E60,B4:AA49)</f>
        <v>1600</v>
      </c>
      <c r="H60" s="26" t="s">
        <v>881</v>
      </c>
      <c r="I60" s="117">
        <f ca="1">SUMIF(B3:AA49,H60,B4:AA49)</f>
        <v>3650</v>
      </c>
      <c r="K60" s="26" t="s">
        <v>1182</v>
      </c>
      <c r="L60" s="117">
        <f ca="1">SUMIF(B3:AA49,K60,B4:AA49)</f>
        <v>13850</v>
      </c>
    </row>
    <row r="61" spans="2:13" ht="51">
      <c r="B61" s="26" t="s">
        <v>253</v>
      </c>
      <c r="C61" s="117">
        <f ca="1">SUMIF(B3:AA49,B61,B4:AA49)</f>
        <v>60</v>
      </c>
      <c r="E61" s="26" t="s">
        <v>651</v>
      </c>
      <c r="F61" s="117">
        <f ca="1">SUMIF(B3:AA49,E61,B4:AA49)</f>
        <v>90</v>
      </c>
      <c r="H61" s="26" t="s">
        <v>874</v>
      </c>
      <c r="I61" s="117">
        <f ca="1">SUMIF(B3:AA49,H61,B4:AA49)</f>
        <v>6500</v>
      </c>
      <c r="K61" s="26" t="s">
        <v>1292</v>
      </c>
      <c r="L61" s="117">
        <f ca="1">SUMIF(B3:AA49,K61,B4:AA49)</f>
        <v>400</v>
      </c>
    </row>
    <row r="62" spans="2:13" ht="38.25">
      <c r="B62" s="26" t="s">
        <v>1296</v>
      </c>
      <c r="C62" s="117">
        <f ca="1">SUMIF(B3:AA49,B62,B4:AA49)</f>
        <v>0</v>
      </c>
      <c r="E62" s="22" t="s">
        <v>662</v>
      </c>
      <c r="F62" s="117">
        <f ca="1">SUMIF(B3:AA49,E62,B4:AA49)</f>
        <v>620</v>
      </c>
      <c r="H62" s="26" t="s">
        <v>884</v>
      </c>
      <c r="I62" s="117">
        <f ca="1">SUMIF(B3:AA49,H62,B4:AA49)</f>
        <v>12</v>
      </c>
      <c r="K62" s="81" t="s">
        <v>1173</v>
      </c>
      <c r="L62" s="117">
        <f ca="1">SUMIF(B3:AA49,K62,B4:AA49)</f>
        <v>30</v>
      </c>
    </row>
    <row r="63" spans="2:13" ht="38.25">
      <c r="B63" s="26" t="s">
        <v>306</v>
      </c>
      <c r="C63" s="117">
        <f ca="1">SUMIF(B3:AA49,B63,B4:AA49)</f>
        <v>1020</v>
      </c>
      <c r="E63" s="26" t="s">
        <v>685</v>
      </c>
      <c r="F63" s="117">
        <f ca="1">SUMIF(B3:AA49,E63,B4:AA49)</f>
        <v>1410</v>
      </c>
      <c r="H63" s="26" t="s">
        <v>929</v>
      </c>
      <c r="I63" s="117">
        <f ca="1">SUMIF(B3:AA49,H63,B4:AA49)</f>
        <v>0</v>
      </c>
      <c r="K63" s="26" t="s">
        <v>1167</v>
      </c>
      <c r="L63" s="117">
        <f ca="1">SUMIF(B3:AA49,K63,B4:AA49)</f>
        <v>0</v>
      </c>
    </row>
    <row r="64" spans="2:13" ht="25.5">
      <c r="B64" s="26" t="s">
        <v>315</v>
      </c>
      <c r="C64" s="117">
        <f ca="1">SUMIF(B3:AA49,B64,B4:AA49)</f>
        <v>60</v>
      </c>
      <c r="E64" s="26" t="s">
        <v>713</v>
      </c>
      <c r="F64" s="117">
        <f ca="1">SUMIF(B3:AA49,E64,B4:AA49)</f>
        <v>2150</v>
      </c>
      <c r="H64" s="81" t="s">
        <v>943</v>
      </c>
      <c r="I64" s="117">
        <f ca="1">SUMIF(B3:AA49,H64,B4:AA49)</f>
        <v>8800</v>
      </c>
      <c r="K64" s="26" t="s">
        <v>1194</v>
      </c>
      <c r="L64" s="117">
        <f ca="1">SUMIF(B3:AA49,K64,B4:AA49)</f>
        <v>1700</v>
      </c>
    </row>
    <row r="65" spans="2:12" ht="25.5">
      <c r="B65" s="26" t="s">
        <v>361</v>
      </c>
      <c r="C65" s="117">
        <f ca="1">SUMIF(B3:AA49,B65,B4:AA49)</f>
        <v>10900</v>
      </c>
      <c r="E65" s="26" t="s">
        <v>729</v>
      </c>
      <c r="F65" s="117">
        <f ca="1">SUMIF(B3:AA49,E65,B4:AA49)</f>
        <v>30600</v>
      </c>
      <c r="H65" s="26" t="s">
        <v>1080</v>
      </c>
      <c r="I65" s="117">
        <f ca="1">SUMIF(B3:AA49,H65,B4:AA49)</f>
        <v>17750</v>
      </c>
      <c r="K65" s="26" t="s">
        <v>1235</v>
      </c>
      <c r="L65" s="117">
        <f ca="1">SUMIF(B3:AA49,K65,B4:AA49)</f>
        <v>350</v>
      </c>
    </row>
    <row r="66" spans="2:12" ht="56.25">
      <c r="B66" s="26" t="s">
        <v>386</v>
      </c>
      <c r="C66" s="117">
        <f ca="1">SUMIF(B3:AA49,B66,B4:AA49)</f>
        <v>90</v>
      </c>
      <c r="E66" s="132" t="s">
        <v>753</v>
      </c>
      <c r="F66" s="117">
        <f ca="1">SUMIF(B3:AA49,E66,B4:AA49)</f>
        <v>9470</v>
      </c>
      <c r="H66" s="26" t="s">
        <v>1284</v>
      </c>
      <c r="I66" s="117">
        <f ca="1">SUMIF(B3:AA49,H66,B4:AA49)</f>
        <v>1500</v>
      </c>
      <c r="K66" s="26" t="s">
        <v>1270</v>
      </c>
      <c r="L66" s="117">
        <f>SUMIF(B3:AA47,K66,B4:AA49)</f>
        <v>3000</v>
      </c>
    </row>
    <row r="67" spans="2:12" ht="25.5">
      <c r="B67" s="26" t="s">
        <v>393</v>
      </c>
      <c r="C67" s="117">
        <f ca="1">SUMIF(B3:AA49,B67,B4:AA49)</f>
        <v>15900</v>
      </c>
      <c r="E67" s="26" t="s">
        <v>1289</v>
      </c>
      <c r="F67" s="117">
        <f ca="1">SUMIF(B3:AA49,E67,B4:AA49)</f>
        <v>650</v>
      </c>
      <c r="H67" s="26" t="s">
        <v>1285</v>
      </c>
      <c r="I67" s="117">
        <f ca="1">SUMIF(B3:AA49,H67,B4:AA49)</f>
        <v>600</v>
      </c>
      <c r="K67" s="26" t="s">
        <v>1247</v>
      </c>
      <c r="L67" s="117">
        <f ca="1">SUMIF(B3:AA49,K67,B4:AA49)</f>
        <v>20</v>
      </c>
    </row>
    <row r="68" spans="2:12" ht="25.5">
      <c r="B68" s="26" t="s">
        <v>438</v>
      </c>
      <c r="C68" s="117">
        <f ca="1">SUMIF(B3:AA49,B68,B4:AA49)</f>
        <v>2200</v>
      </c>
      <c r="E68" s="26" t="s">
        <v>757</v>
      </c>
      <c r="F68" s="117">
        <f ca="1">SUMIF(B3:AA49,E68,B4:AA49)</f>
        <v>3420</v>
      </c>
      <c r="H68" s="22" t="s">
        <v>1355</v>
      </c>
      <c r="I68" s="117">
        <f ca="1">SUMIF(B3:AA49,H68,B4:AA49)</f>
        <v>80</v>
      </c>
      <c r="K68" s="26" t="s">
        <v>1268</v>
      </c>
      <c r="L68" s="117">
        <f ca="1">SUMIF(B3:AA49,K68,B4:AA49)</f>
        <v>17300</v>
      </c>
    </row>
    <row r="69" spans="2:12" ht="38.25">
      <c r="B69" s="26" t="s">
        <v>431</v>
      </c>
      <c r="C69" s="117">
        <f ca="1">SUMIF(B3:AA49,B69,B4:AA49)</f>
        <v>1400</v>
      </c>
      <c r="E69" s="26" t="s">
        <v>1297</v>
      </c>
      <c r="F69" s="117">
        <f ca="1">SUMIF(B3:AA49,E69,B4:AA49)</f>
        <v>0</v>
      </c>
      <c r="H69" s="22" t="s">
        <v>1356</v>
      </c>
      <c r="I69" s="117">
        <f ca="1">SUMIF(B3:AA49,H69,B4:AA49)</f>
        <v>50</v>
      </c>
      <c r="K69" s="26" t="s">
        <v>1263</v>
      </c>
      <c r="L69" s="117">
        <f ca="1">SUMIF(B3:AA49,K69,B4:AA49)</f>
        <v>300</v>
      </c>
    </row>
    <row r="70" spans="2:12" ht="38.25">
      <c r="B70" s="81" t="s">
        <v>521</v>
      </c>
      <c r="C70" s="117">
        <f ca="1">SUMIF(B3:AA49,B70,B4:AA49)</f>
        <v>33300</v>
      </c>
      <c r="E70" s="26" t="s">
        <v>737</v>
      </c>
      <c r="F70" s="117">
        <f ca="1">SUMIF(B3:AA49,E70,B4:AA49)</f>
        <v>0</v>
      </c>
      <c r="H70" s="22" t="s">
        <v>1357</v>
      </c>
      <c r="I70" s="117">
        <f ca="1">SUMIF(B3:AA49,H70,B4:AA49)</f>
        <v>30</v>
      </c>
      <c r="K70" s="26" t="s">
        <v>1259</v>
      </c>
      <c r="L70" s="117">
        <f ca="1">SUMIF(B3:AA49,K70,B4:AA49)</f>
        <v>328</v>
      </c>
    </row>
    <row r="71" spans="2:12" ht="51">
      <c r="B71" s="22" t="s">
        <v>517</v>
      </c>
      <c r="C71" s="117">
        <f ca="1">SUMIF(B3:AA49,B71,B4:AA49)</f>
        <v>500</v>
      </c>
      <c r="E71" s="26" t="s">
        <v>770</v>
      </c>
      <c r="F71" s="117">
        <f ca="1">SUMIF(B3:AA49,E71,B4:AA49)</f>
        <v>90</v>
      </c>
      <c r="H71" s="22" t="s">
        <v>1359</v>
      </c>
      <c r="I71" s="117">
        <f ca="1">SUMIF(B3:AA49,H71,B4:AA49)</f>
        <v>30</v>
      </c>
      <c r="K71" s="22" t="s">
        <v>1204</v>
      </c>
      <c r="L71" s="117">
        <f ca="1">SUMIF(B3:AA49,K71,B4:AA49)</f>
        <v>2100</v>
      </c>
    </row>
    <row r="72" spans="2:12" ht="38.25">
      <c r="B72" s="26" t="s">
        <v>414</v>
      </c>
      <c r="C72" s="117">
        <f ca="1">SUMIF(B3:AA49,B72,B4:AA49)</f>
        <v>6880</v>
      </c>
      <c r="E72" s="26" t="s">
        <v>815</v>
      </c>
      <c r="F72" s="117">
        <f ca="1">SUMIF(B3:AA49,E72,B4:AA49)</f>
        <v>3500</v>
      </c>
      <c r="H72" s="22" t="s">
        <v>1358</v>
      </c>
      <c r="I72" s="117">
        <f ca="1">SUMIF(B3:AA49,H72,B4:AA49)</f>
        <v>100</v>
      </c>
      <c r="K72" s="22" t="s">
        <v>1354</v>
      </c>
      <c r="L72" s="117">
        <f ca="1">SUMIF(B3:AA49,K72,B4:AA49)</f>
        <v>620</v>
      </c>
    </row>
    <row r="73" spans="2:12" ht="38.25">
      <c r="B73" s="26" t="s">
        <v>1295</v>
      </c>
      <c r="C73" s="117">
        <f ca="1">SUMIF(B3:AA49,B73,B4:AA49)</f>
        <v>150</v>
      </c>
      <c r="E73" s="26" t="s">
        <v>817</v>
      </c>
      <c r="F73" s="117">
        <f ca="1">SUMIF(B3:AA49,E73,B4:AA49)</f>
        <v>1400</v>
      </c>
      <c r="H73" s="26" t="s">
        <v>1102</v>
      </c>
      <c r="I73" s="117">
        <f ca="1">SUMIF(B3:AA49,H73,B4:AA49)</f>
        <v>1800</v>
      </c>
      <c r="K73" s="132" t="s">
        <v>1360</v>
      </c>
      <c r="L73" s="117">
        <f ca="1">SUMIF(B3:AA49,K73,B4:AA49)</f>
        <v>100</v>
      </c>
    </row>
  </sheetData>
  <pageMargins left="0.16" right="0.16" top="0.35" bottom="0.26" header="0.2" footer="0.16"/>
  <pageSetup paperSize="9" scale="69" orientation="portrait" horizontalDpi="300" verticalDpi="300" r:id="rId1"/>
  <colBreaks count="2" manualBreakCount="2">
    <brk id="14" max="1048575" man="1"/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G439"/>
  <sheetViews>
    <sheetView workbookViewId="0">
      <selection activeCell="V4" sqref="V4"/>
    </sheetView>
  </sheetViews>
  <sheetFormatPr defaultRowHeight="28.5" customHeight="1"/>
  <cols>
    <col min="1" max="1" width="5.42578125" style="111" bestFit="1" customWidth="1"/>
    <col min="2" max="2" width="8.42578125" style="111" customWidth="1"/>
    <col min="3" max="3" width="5.5703125" style="111" customWidth="1"/>
    <col min="4" max="4" width="4" style="111" customWidth="1"/>
    <col min="5" max="5" width="4.7109375" style="111" customWidth="1"/>
    <col min="6" max="6" width="12.5703125" style="111" customWidth="1"/>
    <col min="7" max="7" width="5.5703125" style="111" customWidth="1"/>
    <col min="8" max="8" width="4.28515625" style="111" customWidth="1"/>
    <col min="9" max="9" width="4.7109375" style="111" customWidth="1"/>
    <col min="10" max="10" width="12.42578125" style="111" customWidth="1"/>
    <col min="11" max="11" width="6.28515625" style="111" bestFit="1" customWidth="1"/>
    <col min="12" max="12" width="4.140625" style="111" customWidth="1"/>
    <col min="13" max="13" width="4.85546875" style="111" customWidth="1"/>
    <col min="14" max="14" width="17.140625" style="111" customWidth="1"/>
    <col min="15" max="15" width="6.28515625" style="111" bestFit="1" customWidth="1"/>
    <col min="16" max="16" width="5" style="111" customWidth="1"/>
    <col min="17" max="17" width="4.85546875" style="111" customWidth="1"/>
    <col min="18" max="18" width="23" style="111" customWidth="1"/>
    <col min="19" max="19" width="9.28515625" style="111" bestFit="1" customWidth="1"/>
    <col min="20" max="20" width="11.140625" style="111" bestFit="1" customWidth="1"/>
    <col min="21" max="21" width="9.85546875" style="111" customWidth="1"/>
    <col min="22" max="22" width="12.85546875" style="111" bestFit="1" customWidth="1"/>
    <col min="23" max="23" width="7" style="111" customWidth="1"/>
    <col min="24" max="24" width="17.42578125" style="111" bestFit="1" customWidth="1"/>
    <col min="25" max="25" width="9.140625" style="111"/>
    <col min="26" max="27" width="9.28515625" style="111" bestFit="1" customWidth="1"/>
    <col min="28" max="31" width="9.140625" style="111"/>
    <col min="32" max="33" width="9.28515625" style="111" bestFit="1" customWidth="1"/>
    <col min="34" max="16384" width="9.140625" style="111"/>
  </cols>
  <sheetData>
    <row r="1" spans="2:22" ht="28.5" customHeight="1">
      <c r="B1" s="112" t="s">
        <v>1283</v>
      </c>
    </row>
    <row r="2" spans="2:22" ht="28.5" customHeight="1">
      <c r="C2" s="118" t="s">
        <v>1299</v>
      </c>
      <c r="D2" s="118" t="s">
        <v>1300</v>
      </c>
      <c r="E2" s="118" t="s">
        <v>1301</v>
      </c>
      <c r="F2" s="118" t="s">
        <v>1302</v>
      </c>
      <c r="G2" s="118" t="s">
        <v>1299</v>
      </c>
      <c r="H2" s="118" t="s">
        <v>1300</v>
      </c>
      <c r="I2" s="118" t="s">
        <v>1301</v>
      </c>
      <c r="J2" s="118" t="s">
        <v>1302</v>
      </c>
      <c r="K2" s="118" t="s">
        <v>1299</v>
      </c>
      <c r="L2" s="118" t="s">
        <v>1300</v>
      </c>
      <c r="M2" s="118" t="s">
        <v>1301</v>
      </c>
      <c r="N2" s="118" t="s">
        <v>1302</v>
      </c>
      <c r="O2" s="118" t="s">
        <v>1299</v>
      </c>
      <c r="P2" s="118" t="s">
        <v>1300</v>
      </c>
      <c r="Q2" s="118" t="s">
        <v>1301</v>
      </c>
      <c r="R2" s="118" t="s">
        <v>1302</v>
      </c>
      <c r="U2" s="117" t="s">
        <v>1275</v>
      </c>
    </row>
    <row r="4" spans="2:22" ht="28.5" customHeight="1">
      <c r="O4" s="26">
        <f>Q4*P4</f>
        <v>522</v>
      </c>
      <c r="P4" s="115">
        <v>174</v>
      </c>
      <c r="Q4" s="115">
        <v>3</v>
      </c>
      <c r="R4" s="26" t="s">
        <v>929</v>
      </c>
      <c r="U4" s="117">
        <f>SUMIF(R4:R19,R7,O4:O19)+SUMIF(N4:N19,N5,K4:K19)+SUMIF(J4:J19,J14,G4:G19)+SUMIF(F4:F19,F15,C4:C19)</f>
        <v>1668</v>
      </c>
      <c r="V4" s="26" t="s">
        <v>1304</v>
      </c>
    </row>
    <row r="5" spans="2:22" ht="28.5" customHeight="1">
      <c r="K5" s="26">
        <f>M5*L5</f>
        <v>80</v>
      </c>
      <c r="L5" s="115">
        <v>20</v>
      </c>
      <c r="M5" s="115">
        <v>4</v>
      </c>
      <c r="N5" s="26" t="s">
        <v>1305</v>
      </c>
      <c r="O5" s="26">
        <f t="shared" ref="O5:O19" si="0">Q5*P5</f>
        <v>620</v>
      </c>
      <c r="P5" s="115">
        <v>155</v>
      </c>
      <c r="Q5" s="115">
        <v>4</v>
      </c>
      <c r="R5" s="26" t="s">
        <v>78</v>
      </c>
      <c r="S5" s="26" t="s">
        <v>1263</v>
      </c>
      <c r="T5" s="115">
        <f>90*5+49*6</f>
        <v>744</v>
      </c>
      <c r="U5" s="117">
        <f>SUMIF(R5:R20,R5,O5:O20)+SUMIF(N5:N20,R5,K5:K20)+SUMIF(J5:J20,R5,G5:G20)+SUMIF(F5:F20,R5,C5:C20)+SUMIF(S4:S19,R5,T4:T19)</f>
        <v>970</v>
      </c>
      <c r="V5" s="26" t="s">
        <v>78</v>
      </c>
    </row>
    <row r="6" spans="2:22" ht="28.5" customHeight="1">
      <c r="K6" s="26">
        <f>M6*L6</f>
        <v>60</v>
      </c>
      <c r="L6" s="115">
        <v>20</v>
      </c>
      <c r="M6" s="115">
        <v>3</v>
      </c>
      <c r="N6" s="26" t="s">
        <v>929</v>
      </c>
      <c r="O6" s="26">
        <f t="shared" si="0"/>
        <v>300</v>
      </c>
      <c r="P6" s="115">
        <v>100</v>
      </c>
      <c r="Q6" s="115">
        <v>3</v>
      </c>
      <c r="R6" s="26" t="s">
        <v>1306</v>
      </c>
      <c r="S6" s="26" t="s">
        <v>1256</v>
      </c>
      <c r="T6" s="115">
        <f>4*75</f>
        <v>300</v>
      </c>
      <c r="U6" s="117">
        <f>SUMIF(R4:R19,R11,O4:O19)+SUMIF(N4:N19,R11,K4:K19)+SUMIF(J4:J19,R11,G4:G19)+SUMIF(F4:F19,R11,C4:C19)</f>
        <v>1110</v>
      </c>
      <c r="V6" s="26" t="s">
        <v>105</v>
      </c>
    </row>
    <row r="7" spans="2:22" ht="28.5" customHeight="1">
      <c r="O7" s="26">
        <f t="shared" si="0"/>
        <v>459</v>
      </c>
      <c r="P7" s="115">
        <v>153</v>
      </c>
      <c r="Q7" s="115">
        <v>3</v>
      </c>
      <c r="R7" s="26" t="s">
        <v>1304</v>
      </c>
      <c r="S7" s="26" t="s">
        <v>78</v>
      </c>
      <c r="T7" s="115">
        <v>350</v>
      </c>
      <c r="U7" s="117">
        <f>SUMIF(R4:R19,N15,O4:O19)+SUMIF(N4:N19,N15,K4:K19)+SUMIF(J4:J19,N15,G4:G19)+SUMIF(F4:F19,N15,C4:C19)</f>
        <v>81</v>
      </c>
      <c r="V7" s="26" t="s">
        <v>1307</v>
      </c>
    </row>
    <row r="8" spans="2:22" ht="28.5" customHeight="1">
      <c r="O8" s="26">
        <f>Q8*P8</f>
        <v>459</v>
      </c>
      <c r="P8" s="115">
        <v>153</v>
      </c>
      <c r="Q8" s="115">
        <v>3</v>
      </c>
      <c r="R8" s="26" t="s">
        <v>112</v>
      </c>
      <c r="U8" s="117">
        <f>SUMIF(R4:R19,R8,O4:O19)+SUMIF(N4:N19,R8,K4:K19)+SUMIF(J4:J19,R8,G4:G19)+SUMIF(F4:F19,R8,C4:C19)</f>
        <v>661</v>
      </c>
      <c r="V8" s="26" t="s">
        <v>112</v>
      </c>
    </row>
    <row r="9" spans="2:22" ht="28.5" customHeight="1">
      <c r="O9" s="26">
        <f>Q9*P9</f>
        <v>441</v>
      </c>
      <c r="P9" s="115">
        <v>147</v>
      </c>
      <c r="Q9" s="115">
        <v>3</v>
      </c>
      <c r="R9" s="26" t="s">
        <v>1263</v>
      </c>
      <c r="U9" s="117">
        <f>SUMIF(R4:R19,R16,O4:O19)+SUMIF(N4:N19,R16,K4:K19)+SUMIF(J4:J19,R16,G4:G19)+SUMIF(F4:F19,R16,C4:C19)</f>
        <v>159</v>
      </c>
      <c r="V9" s="26" t="s">
        <v>412</v>
      </c>
    </row>
    <row r="10" spans="2:22" ht="28.5" customHeight="1">
      <c r="C10" s="26">
        <f>E10*D10</f>
        <v>60</v>
      </c>
      <c r="D10" s="115">
        <v>20</v>
      </c>
      <c r="E10" s="115">
        <v>3</v>
      </c>
      <c r="F10" s="26" t="s">
        <v>929</v>
      </c>
      <c r="G10" s="115">
        <f>H10*I10</f>
        <v>165</v>
      </c>
      <c r="H10" s="115">
        <v>55</v>
      </c>
      <c r="I10" s="115">
        <v>3</v>
      </c>
      <c r="J10" s="26" t="s">
        <v>1263</v>
      </c>
      <c r="K10" s="115">
        <f t="shared" ref="K10:K18" si="1">L10*M10</f>
        <v>21</v>
      </c>
      <c r="L10" s="115">
        <v>7</v>
      </c>
      <c r="M10" s="115">
        <v>3</v>
      </c>
      <c r="N10" s="26" t="s">
        <v>1263</v>
      </c>
      <c r="O10" s="26">
        <f t="shared" si="0"/>
        <v>243</v>
      </c>
      <c r="P10" s="115">
        <v>81</v>
      </c>
      <c r="Q10" s="115">
        <v>3</v>
      </c>
      <c r="R10" s="26" t="s">
        <v>789</v>
      </c>
      <c r="U10" s="117">
        <f>SUMIF(R4:R19,S4,O4:O19)+SUMIF(N4:N19,S4,K4:K19)+SUMIF(J4:J19,S4,G4:G19)+SUMIF(F4:F19,S4,C4:C19)+SUMIF(S4:S19,S4,T4:T19)</f>
        <v>0</v>
      </c>
      <c r="V10" s="26" t="s">
        <v>1303</v>
      </c>
    </row>
    <row r="11" spans="2:22" ht="28.5" customHeight="1">
      <c r="O11" s="26">
        <f t="shared" si="0"/>
        <v>453</v>
      </c>
      <c r="P11" s="115">
        <v>151</v>
      </c>
      <c r="Q11" s="115">
        <v>3</v>
      </c>
      <c r="R11" s="26" t="s">
        <v>105</v>
      </c>
      <c r="U11" s="117">
        <f>SUMIF(R4:R19,R10,O4:O19)+SUMIF(N4:N19,R10,K4:K19)+SUMIF(J4:J19,R10,G4:G19)+SUMIF(F4:F19,R10,C4:C19)</f>
        <v>243</v>
      </c>
      <c r="V11" s="26" t="s">
        <v>789</v>
      </c>
    </row>
    <row r="12" spans="2:22" ht="28.5" customHeight="1">
      <c r="O12" s="26">
        <f t="shared" si="0"/>
        <v>450</v>
      </c>
      <c r="P12" s="115">
        <v>150</v>
      </c>
      <c r="Q12" s="115">
        <v>3</v>
      </c>
      <c r="R12" s="26" t="s">
        <v>105</v>
      </c>
      <c r="U12" s="117">
        <f ca="1">SUMIF(R4:T19,V12,O4:O19)+SUMIF(N4:N19,V12,K4:K19)+SUMIF(J4:J19,V12,G4:G19)+SUMIF(F4:F19,V12,C4:C19)</f>
        <v>317</v>
      </c>
      <c r="V12" s="26" t="s">
        <v>1308</v>
      </c>
    </row>
    <row r="13" spans="2:22" ht="28.5" customHeight="1">
      <c r="O13" s="26">
        <f t="shared" si="0"/>
        <v>453</v>
      </c>
      <c r="P13" s="115">
        <v>151</v>
      </c>
      <c r="Q13" s="115">
        <v>3</v>
      </c>
      <c r="R13" s="26" t="s">
        <v>1304</v>
      </c>
      <c r="U13" s="117">
        <f>SUMIF(R6:R21,R6,O6:O21)+SUMIF(N6:N21,R6,K6:K21)+SUMIF(J6:J21,R6,G6:G21)+SUMIF(F6:F21,R6,C6:C21)</f>
        <v>450</v>
      </c>
      <c r="V13" s="26" t="s">
        <v>1306</v>
      </c>
    </row>
    <row r="14" spans="2:22" ht="28.5" customHeight="1">
      <c r="G14" s="115">
        <f>H14*I14+1</f>
        <v>181</v>
      </c>
      <c r="H14" s="115">
        <v>60</v>
      </c>
      <c r="I14" s="115">
        <v>3</v>
      </c>
      <c r="J14" s="119" t="s">
        <v>1305</v>
      </c>
      <c r="K14" s="26">
        <f>M14*L14</f>
        <v>117</v>
      </c>
      <c r="L14" s="115">
        <v>39</v>
      </c>
      <c r="M14" s="115">
        <v>3</v>
      </c>
      <c r="N14" s="26" t="s">
        <v>929</v>
      </c>
      <c r="O14" s="26">
        <f t="shared" si="0"/>
        <v>150</v>
      </c>
      <c r="P14" s="115">
        <v>50</v>
      </c>
      <c r="Q14" s="115">
        <v>3</v>
      </c>
      <c r="R14" s="26" t="s">
        <v>1306</v>
      </c>
      <c r="U14" s="117">
        <f>SUMIF(R4:R19,R4,O4:O19)+SUMIF(N4:N19,N14,K4:K19)+SUMIF(J4:J19,N6,G4:G19)+SUMIF(F4:F19,F10,C4:C19)</f>
        <v>1086</v>
      </c>
      <c r="V14" s="26" t="s">
        <v>929</v>
      </c>
    </row>
    <row r="15" spans="2:22" ht="28.5" customHeight="1">
      <c r="C15" s="115">
        <f>D15*E15</f>
        <v>159</v>
      </c>
      <c r="D15" s="115">
        <v>53</v>
      </c>
      <c r="E15" s="115">
        <v>3</v>
      </c>
      <c r="F15" s="26" t="s">
        <v>1305</v>
      </c>
      <c r="G15" s="115">
        <f>H15*I15+1</f>
        <v>19</v>
      </c>
      <c r="H15" s="115">
        <v>6</v>
      </c>
      <c r="I15" s="115">
        <v>3</v>
      </c>
      <c r="J15" s="26" t="s">
        <v>1256</v>
      </c>
      <c r="K15" s="115">
        <f>L15*M15</f>
        <v>81</v>
      </c>
      <c r="L15" s="115">
        <v>27</v>
      </c>
      <c r="M15" s="115">
        <v>3</v>
      </c>
      <c r="N15" s="26" t="s">
        <v>1307</v>
      </c>
      <c r="O15" s="26">
        <f t="shared" si="0"/>
        <v>207</v>
      </c>
      <c r="P15" s="115">
        <v>69</v>
      </c>
      <c r="Q15" s="115">
        <v>3</v>
      </c>
      <c r="R15" s="26" t="s">
        <v>105</v>
      </c>
      <c r="U15" s="117">
        <f>SUMIF(R4:R19,R9,O4:O19)+SUMIF(N4:N19,R9,K4:K19)+SUMIF(J4:J19,R9,G4:G19)+SUMIF(F4:F19,R9,C4:C19)+SUMIF(S4:S19,S5,T4:T19)</f>
        <v>1701</v>
      </c>
      <c r="V15" s="26" t="s">
        <v>1263</v>
      </c>
    </row>
    <row r="16" spans="2:22" ht="28.5" customHeight="1">
      <c r="K16" s="115">
        <f t="shared" si="1"/>
        <v>336</v>
      </c>
      <c r="L16" s="115">
        <v>112</v>
      </c>
      <c r="M16" s="115">
        <v>3</v>
      </c>
      <c r="N16" s="119" t="s">
        <v>1305</v>
      </c>
      <c r="O16" s="26">
        <f t="shared" si="0"/>
        <v>159</v>
      </c>
      <c r="P16" s="115">
        <v>53</v>
      </c>
      <c r="Q16" s="115">
        <v>3</v>
      </c>
      <c r="R16" s="26" t="s">
        <v>412</v>
      </c>
      <c r="U16" s="117">
        <f>SUMIF(R4:R19,J15,O4:O19)+SUMIF(N4:N19,J15,K4:K19)+SUMIF(J4:J19,J15,G4:G19)+SUMIF(F4:F19,J15,C4:C19)+SUMIF(S4:S19,S6,T4:T19)</f>
        <v>319</v>
      </c>
      <c r="V16" s="26" t="s">
        <v>1256</v>
      </c>
    </row>
    <row r="17" spans="1:22" ht="28.5" customHeight="1">
      <c r="G17" s="115">
        <f>H17*I17</f>
        <v>66</v>
      </c>
      <c r="H17" s="115">
        <v>22</v>
      </c>
      <c r="I17" s="115">
        <v>3</v>
      </c>
      <c r="J17" s="119" t="s">
        <v>112</v>
      </c>
      <c r="K17" s="115">
        <f t="shared" si="1"/>
        <v>136</v>
      </c>
      <c r="L17" s="115">
        <v>68</v>
      </c>
      <c r="M17" s="115">
        <v>2</v>
      </c>
      <c r="N17" s="26" t="s">
        <v>112</v>
      </c>
      <c r="O17" s="26">
        <f t="shared" ref="O17" si="2">Q17*P17</f>
        <v>152</v>
      </c>
      <c r="P17" s="115">
        <v>76</v>
      </c>
      <c r="Q17" s="115">
        <v>2</v>
      </c>
      <c r="R17" s="26" t="s">
        <v>1308</v>
      </c>
      <c r="U17" s="117">
        <f>SUMIF(R4:R19,V17,O4:O19)+SUMIF(N4:N19,V17,K4:K19)+SUMIF(J4:J19,V17,G4:G19)+SUMIF(F4:F19,V17,C4:C19)+SUMIF(S4:S19,V17,T4:T19)</f>
        <v>105</v>
      </c>
      <c r="V17" s="26" t="s">
        <v>1230</v>
      </c>
    </row>
    <row r="18" spans="1:22" ht="28.5" customHeight="1">
      <c r="K18" s="115">
        <f t="shared" si="1"/>
        <v>330</v>
      </c>
      <c r="L18" s="115">
        <v>110</v>
      </c>
      <c r="M18" s="115">
        <v>3</v>
      </c>
      <c r="N18" s="119" t="s">
        <v>1263</v>
      </c>
      <c r="O18" s="26">
        <f t="shared" si="0"/>
        <v>165</v>
      </c>
      <c r="P18" s="115">
        <v>55</v>
      </c>
      <c r="Q18" s="115">
        <v>3</v>
      </c>
      <c r="R18" s="26" t="s">
        <v>1308</v>
      </c>
      <c r="U18" s="117">
        <f>SUMIF(R4:R19,V18,O4:O19)+SUMIF(N4:N19,V18,K4:K19)+SUMIF(J4:J19,V18,G4:G19)+SUMIF(F4:F19,V18,C4:C19)+SUMIF(S4:S19,V18,T4:T19)</f>
        <v>18</v>
      </c>
      <c r="V18" s="26" t="s">
        <v>84</v>
      </c>
    </row>
    <row r="19" spans="1:22" ht="28.5" customHeight="1">
      <c r="C19" s="115">
        <f>D19*E19</f>
        <v>327</v>
      </c>
      <c r="D19" s="115">
        <v>109</v>
      </c>
      <c r="E19" s="115">
        <v>3</v>
      </c>
      <c r="F19" s="26" t="s">
        <v>929</v>
      </c>
      <c r="G19" s="115">
        <f t="shared" ref="G19" si="3">H19*I19</f>
        <v>18</v>
      </c>
      <c r="H19" s="115">
        <v>6</v>
      </c>
      <c r="I19" s="115">
        <v>3</v>
      </c>
      <c r="J19" s="26" t="s">
        <v>84</v>
      </c>
      <c r="K19" s="26">
        <f>M19*L19</f>
        <v>105</v>
      </c>
      <c r="L19" s="115">
        <v>35</v>
      </c>
      <c r="M19" s="115">
        <v>3</v>
      </c>
      <c r="N19" s="26" t="s">
        <v>1230</v>
      </c>
      <c r="O19" s="26">
        <f t="shared" si="0"/>
        <v>54</v>
      </c>
      <c r="P19" s="26">
        <v>18</v>
      </c>
      <c r="Q19" s="115">
        <v>3</v>
      </c>
      <c r="R19" s="26" t="s">
        <v>429</v>
      </c>
      <c r="U19" s="117">
        <f>SUMIF(R4:R19,V19,O4:O19)+SUMIF(N4:N19,V19,K4:K19)+SUMIF(J4:J19,V19,G4:G19)+SUMIF(F4:F19,V19,C4:C19)+SUMIF(S4:S19,V19,T4:T19)</f>
        <v>54</v>
      </c>
      <c r="V19" s="26" t="s">
        <v>429</v>
      </c>
    </row>
    <row r="20" spans="1:22" ht="28.5" customHeight="1">
      <c r="A20" s="118" t="s">
        <v>1275</v>
      </c>
      <c r="B20" s="118">
        <f>O20+K20+G20+C20+T20</f>
        <v>8942</v>
      </c>
      <c r="C20" s="26">
        <f>SUM(C5:C19)</f>
        <v>546</v>
      </c>
      <c r="D20" s="120"/>
      <c r="E20" s="120"/>
      <c r="F20" s="120"/>
      <c r="G20" s="26">
        <f>SUM(G6:G19)</f>
        <v>449</v>
      </c>
      <c r="H20" s="120"/>
      <c r="I20" s="120"/>
      <c r="J20" s="120"/>
      <c r="K20" s="26">
        <f>SUM(K4:K19)</f>
        <v>1266</v>
      </c>
      <c r="L20" s="120"/>
      <c r="M20" s="120"/>
      <c r="N20" s="120"/>
      <c r="O20" s="26">
        <f>SUM(O4:O19)</f>
        <v>5287</v>
      </c>
      <c r="T20" s="26">
        <f>SUM(T4:T19)</f>
        <v>1394</v>
      </c>
      <c r="U20" s="118">
        <f ca="1">SUM(U4:U19)</f>
        <v>8942</v>
      </c>
    </row>
    <row r="21" spans="1:22" ht="28.5" customHeight="1">
      <c r="O21" s="120"/>
      <c r="U21" s="111">
        <f ca="1">U20-B20</f>
        <v>0</v>
      </c>
    </row>
    <row r="22" spans="1:22" ht="28.5" customHeight="1">
      <c r="O22" s="120"/>
    </row>
    <row r="23" spans="1:22" ht="28.5" customHeight="1">
      <c r="O23" s="120"/>
    </row>
    <row r="437" spans="26:33" ht="28.5" customHeight="1">
      <c r="Z437" s="111">
        <f>SUM(Z4:Z433)</f>
        <v>0</v>
      </c>
      <c r="AA437" s="111">
        <f>SUM(AA4:AA433)</f>
        <v>0</v>
      </c>
      <c r="AF437" s="111">
        <f>SUM(AF4:AF433)</f>
        <v>0</v>
      </c>
      <c r="AG437" s="111">
        <f>SUM(AG4:AG433)</f>
        <v>0</v>
      </c>
    </row>
    <row r="439" spans="26:33" ht="28.5" customHeight="1">
      <c r="AF439" s="111">
        <f>AG437+AF437</f>
        <v>0</v>
      </c>
    </row>
  </sheetData>
  <pageMargins left="0.16" right="0.16" top="0.35" bottom="0.26" header="0.2" footer="0.16"/>
  <pageSetup paperSize="9" scale="7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33"/>
  <sheetViews>
    <sheetView topLeftCell="A10" workbookViewId="0">
      <selection activeCell="H20" sqref="H20"/>
    </sheetView>
  </sheetViews>
  <sheetFormatPr defaultRowHeight="28.5" customHeight="1"/>
  <cols>
    <col min="1" max="1" width="5.140625" style="111" bestFit="1" customWidth="1"/>
    <col min="2" max="2" width="4.140625" style="111" hidden="1" customWidth="1"/>
    <col min="3" max="3" width="4.85546875" style="111" hidden="1" customWidth="1"/>
    <col min="4" max="4" width="16.7109375" style="111" customWidth="1"/>
    <col min="5" max="5" width="5.5703125" style="111" bestFit="1" customWidth="1"/>
    <col min="6" max="6" width="4.140625" style="111" hidden="1" customWidth="1"/>
    <col min="7" max="7" width="5.7109375" style="111" hidden="1" customWidth="1"/>
    <col min="8" max="8" width="16.7109375" style="111" customWidth="1"/>
    <col min="9" max="9" width="4.7109375" style="111" bestFit="1" customWidth="1"/>
    <col min="10" max="10" width="4.140625" style="111" hidden="1" customWidth="1"/>
    <col min="11" max="11" width="5.7109375" style="111" hidden="1" customWidth="1"/>
    <col min="12" max="12" width="16.7109375" style="111" customWidth="1"/>
    <col min="13" max="13" width="5.5703125" style="111" bestFit="1" customWidth="1"/>
    <col min="14" max="14" width="4.140625" style="111" hidden="1" customWidth="1"/>
    <col min="15" max="15" width="4.85546875" style="111" hidden="1" customWidth="1"/>
    <col min="16" max="16" width="16.7109375" style="111" customWidth="1"/>
    <col min="17" max="17" width="4.140625" style="111" bestFit="1" customWidth="1"/>
    <col min="18" max="18" width="4.140625" style="111" hidden="1" customWidth="1"/>
    <col min="19" max="19" width="4.85546875" style="111" hidden="1" customWidth="1"/>
    <col min="20" max="20" width="16.7109375" style="111" customWidth="1"/>
    <col min="21" max="21" width="5.140625" style="111" bestFit="1" customWidth="1"/>
    <col min="22" max="22" width="4.140625" style="111" hidden="1" customWidth="1"/>
    <col min="23" max="23" width="4.85546875" style="111" hidden="1" customWidth="1"/>
    <col min="24" max="24" width="16.7109375" style="111" customWidth="1"/>
    <col min="25" max="25" width="5.140625" style="111" bestFit="1" customWidth="1"/>
    <col min="26" max="26" width="4.140625" style="111" hidden="1" customWidth="1"/>
    <col min="27" max="27" width="4.85546875" style="111" hidden="1" customWidth="1"/>
    <col min="28" max="28" width="16.7109375" style="111" customWidth="1"/>
    <col min="29" max="29" width="5.140625" style="111" bestFit="1" customWidth="1"/>
    <col min="30" max="30" width="4" style="111" hidden="1" customWidth="1"/>
    <col min="31" max="31" width="4.7109375" style="111" hidden="1" customWidth="1"/>
    <col min="32" max="32" width="16.7109375" style="111" customWidth="1"/>
    <col min="33" max="33" width="5.140625" style="111" bestFit="1" customWidth="1"/>
    <col min="34" max="34" width="4" style="111" hidden="1" customWidth="1"/>
    <col min="35" max="35" width="4.7109375" style="111" hidden="1" customWidth="1"/>
    <col min="36" max="36" width="16.7109375" style="111" customWidth="1"/>
    <col min="37" max="37" width="5.5703125" style="111" bestFit="1" customWidth="1"/>
    <col min="38" max="38" width="4" style="111" hidden="1" customWidth="1"/>
    <col min="39" max="39" width="4.7109375" style="111" hidden="1" customWidth="1"/>
    <col min="40" max="40" width="16.7109375" style="111" customWidth="1"/>
    <col min="41" max="41" width="5.5703125" style="111" bestFit="1" customWidth="1"/>
    <col min="42" max="42" width="4" style="111" hidden="1" customWidth="1"/>
    <col min="43" max="43" width="4.7109375" style="111" hidden="1" customWidth="1"/>
    <col min="44" max="44" width="16.7109375" style="111" customWidth="1"/>
    <col min="45" max="16384" width="9.140625" style="111"/>
  </cols>
  <sheetData>
    <row r="1" spans="1:44" ht="28.5" customHeight="1">
      <c r="D1" s="112" t="s">
        <v>1282</v>
      </c>
    </row>
    <row r="2" spans="1:44" ht="28.5" customHeight="1">
      <c r="A2" s="118" t="s">
        <v>1299</v>
      </c>
      <c r="B2" s="118" t="s">
        <v>1300</v>
      </c>
      <c r="C2" s="118" t="s">
        <v>1301</v>
      </c>
      <c r="D2" s="118" t="s">
        <v>1302</v>
      </c>
      <c r="E2" s="118" t="s">
        <v>1299</v>
      </c>
      <c r="F2" s="118" t="s">
        <v>1300</v>
      </c>
      <c r="G2" s="118" t="s">
        <v>1301</v>
      </c>
      <c r="H2" s="118" t="s">
        <v>1302</v>
      </c>
      <c r="I2" s="118" t="s">
        <v>1299</v>
      </c>
      <c r="J2" s="118" t="s">
        <v>1300</v>
      </c>
      <c r="K2" s="118" t="s">
        <v>1301</v>
      </c>
      <c r="L2" s="118" t="s">
        <v>1302</v>
      </c>
      <c r="M2" s="118" t="s">
        <v>1299</v>
      </c>
      <c r="N2" s="118" t="s">
        <v>1300</v>
      </c>
      <c r="O2" s="118" t="s">
        <v>1301</v>
      </c>
      <c r="P2" s="118" t="s">
        <v>1302</v>
      </c>
      <c r="Q2" s="118" t="s">
        <v>1299</v>
      </c>
      <c r="R2" s="118" t="s">
        <v>1300</v>
      </c>
      <c r="S2" s="118" t="s">
        <v>1301</v>
      </c>
      <c r="T2" s="118" t="s">
        <v>1302</v>
      </c>
      <c r="U2" s="118" t="s">
        <v>1299</v>
      </c>
      <c r="V2" s="118" t="s">
        <v>1300</v>
      </c>
      <c r="W2" s="118" t="s">
        <v>1301</v>
      </c>
      <c r="X2" s="118" t="s">
        <v>1302</v>
      </c>
      <c r="Y2" s="118" t="s">
        <v>1299</v>
      </c>
      <c r="Z2" s="118" t="s">
        <v>1300</v>
      </c>
      <c r="AA2" s="118" t="s">
        <v>1301</v>
      </c>
      <c r="AB2" s="118" t="s">
        <v>1302</v>
      </c>
      <c r="AC2" s="118" t="s">
        <v>1299</v>
      </c>
      <c r="AD2" s="118" t="s">
        <v>1300</v>
      </c>
      <c r="AE2" s="118" t="s">
        <v>1301</v>
      </c>
      <c r="AF2" s="118" t="s">
        <v>1302</v>
      </c>
      <c r="AG2" s="118" t="s">
        <v>1299</v>
      </c>
      <c r="AH2" s="118" t="s">
        <v>1300</v>
      </c>
      <c r="AI2" s="118" t="s">
        <v>1301</v>
      </c>
      <c r="AJ2" s="118" t="s">
        <v>1302</v>
      </c>
      <c r="AK2" s="118" t="s">
        <v>1299</v>
      </c>
      <c r="AL2" s="118" t="s">
        <v>1300</v>
      </c>
      <c r="AM2" s="118" t="s">
        <v>1301</v>
      </c>
      <c r="AN2" s="118" t="s">
        <v>1302</v>
      </c>
      <c r="AO2" s="118" t="s">
        <v>1299</v>
      </c>
      <c r="AP2" s="118" t="s">
        <v>1300</v>
      </c>
      <c r="AQ2" s="118" t="s">
        <v>1301</v>
      </c>
      <c r="AR2" s="118" t="s">
        <v>1302</v>
      </c>
    </row>
    <row r="3" spans="1:44" ht="28.5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AO3" s="115">
        <f>AP3*AQ3</f>
        <v>720</v>
      </c>
      <c r="AP3" s="115">
        <v>30</v>
      </c>
      <c r="AQ3" s="115">
        <v>24</v>
      </c>
      <c r="AR3" s="119" t="s">
        <v>112</v>
      </c>
    </row>
    <row r="4" spans="1:44" ht="28.5" customHeight="1">
      <c r="AO4" s="115">
        <f>AP4*AQ4</f>
        <v>500</v>
      </c>
      <c r="AP4" s="115">
        <v>250</v>
      </c>
      <c r="AQ4" s="115">
        <v>2</v>
      </c>
      <c r="AR4" s="26" t="s">
        <v>78</v>
      </c>
    </row>
    <row r="5" spans="1:44" ht="23.2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AG5" s="115">
        <f>AH5*AI5</f>
        <v>200</v>
      </c>
      <c r="AH5" s="115">
        <v>40</v>
      </c>
      <c r="AI5" s="115">
        <v>5</v>
      </c>
      <c r="AJ5" s="26" t="s">
        <v>1306</v>
      </c>
      <c r="AK5" s="115">
        <f>AL5*AM5</f>
        <v>555</v>
      </c>
      <c r="AL5" s="115">
        <v>185</v>
      </c>
      <c r="AM5" s="115">
        <v>3</v>
      </c>
      <c r="AN5" s="26" t="s">
        <v>1306</v>
      </c>
      <c r="AO5" s="115">
        <f>AP5*AQ5</f>
        <v>0</v>
      </c>
      <c r="AP5" s="115"/>
      <c r="AQ5" s="115"/>
      <c r="AR5" s="26"/>
    </row>
    <row r="6" spans="1:44" ht="24.75" customHeight="1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AO6" s="115">
        <f>AP6*AQ6</f>
        <v>600</v>
      </c>
      <c r="AP6" s="115">
        <v>150</v>
      </c>
      <c r="AQ6" s="115">
        <v>4</v>
      </c>
      <c r="AR6" s="26" t="s">
        <v>112</v>
      </c>
    </row>
    <row r="7" spans="1:44" ht="28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AO7" s="115">
        <f t="shared" ref="AO7" si="0">AP7*AQ7</f>
        <v>190</v>
      </c>
      <c r="AP7" s="115">
        <v>190</v>
      </c>
      <c r="AQ7" s="115">
        <v>1</v>
      </c>
      <c r="AR7" s="26" t="s">
        <v>84</v>
      </c>
    </row>
    <row r="8" spans="1:44" ht="28.5" customHeight="1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AC8" s="115">
        <f t="shared" ref="AC8:AC16" si="1">AD8*AE8</f>
        <v>32</v>
      </c>
      <c r="AD8" s="115">
        <v>8</v>
      </c>
      <c r="AE8" s="115">
        <v>4</v>
      </c>
      <c r="AF8" s="26" t="s">
        <v>78</v>
      </c>
      <c r="AG8" s="115">
        <f t="shared" ref="AG8:AG16" si="2">AH8*AI8</f>
        <v>204</v>
      </c>
      <c r="AH8" s="115">
        <v>51</v>
      </c>
      <c r="AI8" s="115">
        <v>4</v>
      </c>
      <c r="AJ8" s="26" t="s">
        <v>764</v>
      </c>
      <c r="AK8" s="115">
        <f t="shared" ref="AK8:AK16" si="3">AL8*AM8</f>
        <v>60</v>
      </c>
      <c r="AL8" s="115">
        <v>15</v>
      </c>
      <c r="AM8" s="115">
        <v>4</v>
      </c>
      <c r="AN8" s="115" t="s">
        <v>1309</v>
      </c>
      <c r="AO8" s="115">
        <f t="shared" ref="AO8:AO16" si="4">AP8*AQ8</f>
        <v>316</v>
      </c>
      <c r="AP8" s="115">
        <v>79</v>
      </c>
      <c r="AQ8" s="115">
        <v>4</v>
      </c>
      <c r="AR8" s="26" t="s">
        <v>84</v>
      </c>
    </row>
    <row r="9" spans="1:44" ht="26.2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AO9" s="115">
        <f t="shared" si="4"/>
        <v>712</v>
      </c>
      <c r="AP9" s="115">
        <v>178</v>
      </c>
      <c r="AQ9" s="115">
        <v>4</v>
      </c>
      <c r="AR9" s="26" t="s">
        <v>78</v>
      </c>
    </row>
    <row r="10" spans="1:44" ht="25.5"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U10" s="121">
        <f>V10*W10</f>
        <v>20</v>
      </c>
      <c r="V10" s="121">
        <v>5</v>
      </c>
      <c r="W10" s="121">
        <v>4</v>
      </c>
      <c r="X10" s="89" t="s">
        <v>915</v>
      </c>
      <c r="Y10" s="115">
        <f t="shared" ref="Y10:Y16" si="5">Z10*AA10</f>
        <v>152</v>
      </c>
      <c r="Z10" s="121">
        <v>38</v>
      </c>
      <c r="AA10" s="121">
        <v>4</v>
      </c>
      <c r="AB10" s="89" t="s">
        <v>764</v>
      </c>
      <c r="AC10" s="115">
        <f t="shared" si="1"/>
        <v>36</v>
      </c>
      <c r="AD10" s="121">
        <v>9</v>
      </c>
      <c r="AE10" s="121">
        <v>4</v>
      </c>
      <c r="AF10" s="26" t="s">
        <v>1167</v>
      </c>
      <c r="AG10" s="115">
        <f t="shared" si="2"/>
        <v>40</v>
      </c>
      <c r="AH10" s="115">
        <v>10</v>
      </c>
      <c r="AI10" s="115">
        <v>4</v>
      </c>
      <c r="AJ10" s="115" t="s">
        <v>1309</v>
      </c>
      <c r="AK10" s="115">
        <f t="shared" si="3"/>
        <v>440</v>
      </c>
      <c r="AL10" s="115">
        <v>110</v>
      </c>
      <c r="AM10" s="115">
        <v>4</v>
      </c>
      <c r="AN10" s="26" t="s">
        <v>1263</v>
      </c>
      <c r="AO10" s="115">
        <f t="shared" si="4"/>
        <v>21</v>
      </c>
      <c r="AP10" s="115">
        <v>7</v>
      </c>
      <c r="AQ10" s="115">
        <v>3</v>
      </c>
      <c r="AR10" s="26" t="s">
        <v>674</v>
      </c>
    </row>
    <row r="11" spans="1:44" ht="28.5" customHeight="1">
      <c r="A11" s="26">
        <v>30</v>
      </c>
      <c r="D11" s="26" t="s">
        <v>1167</v>
      </c>
      <c r="E11" s="26">
        <f>F11*G11</f>
        <v>40</v>
      </c>
      <c r="F11" s="26">
        <v>10</v>
      </c>
      <c r="G11" s="26">
        <v>4</v>
      </c>
      <c r="H11" s="26" t="s">
        <v>1227</v>
      </c>
      <c r="I11" s="26">
        <f>J11*K11</f>
        <v>16</v>
      </c>
      <c r="J11" s="26">
        <v>4</v>
      </c>
      <c r="K11" s="26">
        <v>4</v>
      </c>
      <c r="L11" s="26" t="s">
        <v>1179</v>
      </c>
      <c r="M11" s="26">
        <f>N11*O11</f>
        <v>60</v>
      </c>
      <c r="N11" s="26">
        <v>15</v>
      </c>
      <c r="O11" s="26">
        <v>4</v>
      </c>
      <c r="P11" s="26" t="s">
        <v>625</v>
      </c>
      <c r="Q11" s="26">
        <f>R11*S11</f>
        <v>8</v>
      </c>
      <c r="R11" s="115">
        <v>2</v>
      </c>
      <c r="S11" s="115">
        <v>4</v>
      </c>
      <c r="T11" s="26" t="s">
        <v>448</v>
      </c>
      <c r="U11" s="121">
        <f t="shared" ref="U11:U16" si="6">V11*W11</f>
        <v>212</v>
      </c>
      <c r="V11" s="115">
        <v>53</v>
      </c>
      <c r="W11" s="115">
        <v>4</v>
      </c>
      <c r="X11" s="26" t="s">
        <v>741</v>
      </c>
      <c r="Y11" s="115">
        <f t="shared" si="5"/>
        <v>20</v>
      </c>
      <c r="Z11" s="115">
        <v>5</v>
      </c>
      <c r="AA11" s="115">
        <v>4</v>
      </c>
      <c r="AB11" s="26" t="s">
        <v>856</v>
      </c>
      <c r="AC11" s="115">
        <f t="shared" si="1"/>
        <v>40</v>
      </c>
      <c r="AD11" s="115">
        <v>10</v>
      </c>
      <c r="AE11" s="115">
        <v>4</v>
      </c>
      <c r="AF11" s="26" t="s">
        <v>625</v>
      </c>
      <c r="AG11" s="115">
        <f t="shared" si="2"/>
        <v>20</v>
      </c>
      <c r="AH11" s="115">
        <v>5</v>
      </c>
      <c r="AI11" s="115">
        <v>4</v>
      </c>
      <c r="AJ11" s="26" t="s">
        <v>1227</v>
      </c>
      <c r="AK11" s="115">
        <f t="shared" si="3"/>
        <v>68</v>
      </c>
      <c r="AL11" s="115">
        <v>17</v>
      </c>
      <c r="AM11" s="115">
        <v>4</v>
      </c>
      <c r="AN11" s="26" t="s">
        <v>674</v>
      </c>
      <c r="AO11" s="115">
        <f t="shared" si="4"/>
        <v>105</v>
      </c>
      <c r="AP11" s="115">
        <v>35</v>
      </c>
      <c r="AQ11" s="115">
        <v>3</v>
      </c>
      <c r="AR11" s="26" t="s">
        <v>674</v>
      </c>
    </row>
    <row r="12" spans="1:44" ht="28.5" customHeight="1">
      <c r="A12" s="26">
        <f>B12*C12</f>
        <v>24</v>
      </c>
      <c r="B12" s="26">
        <v>6</v>
      </c>
      <c r="C12" s="26">
        <v>4</v>
      </c>
      <c r="D12" s="26" t="s">
        <v>595</v>
      </c>
      <c r="E12" s="26">
        <f t="shared" ref="E12:E17" si="7">F12*G12</f>
        <v>20</v>
      </c>
      <c r="F12" s="26">
        <v>5</v>
      </c>
      <c r="G12" s="26">
        <v>4</v>
      </c>
      <c r="H12" s="26" t="s">
        <v>810</v>
      </c>
      <c r="I12" s="26">
        <f t="shared" ref="I12:I17" si="8">J12*K12</f>
        <v>20</v>
      </c>
      <c r="J12" s="115">
        <v>5</v>
      </c>
      <c r="K12" s="115">
        <v>4</v>
      </c>
      <c r="L12" s="26" t="s">
        <v>549</v>
      </c>
      <c r="M12" s="26">
        <f t="shared" ref="M12:M17" si="9">N12*O12</f>
        <v>36</v>
      </c>
      <c r="N12" s="115">
        <v>9</v>
      </c>
      <c r="O12" s="115">
        <v>4</v>
      </c>
      <c r="P12" s="26" t="s">
        <v>1175</v>
      </c>
      <c r="Q12" s="26">
        <f t="shared" ref="Q12:Q16" si="10">R12*S12</f>
        <v>28</v>
      </c>
      <c r="R12" s="115">
        <v>7</v>
      </c>
      <c r="S12" s="115">
        <v>4</v>
      </c>
      <c r="T12" s="26" t="s">
        <v>954</v>
      </c>
      <c r="U12" s="121">
        <f t="shared" si="6"/>
        <v>36</v>
      </c>
      <c r="V12" s="115">
        <v>9</v>
      </c>
      <c r="W12" s="115">
        <v>4</v>
      </c>
      <c r="X12" s="26" t="s">
        <v>302</v>
      </c>
      <c r="Y12" s="115">
        <f t="shared" si="5"/>
        <v>100</v>
      </c>
      <c r="Z12" s="115">
        <v>25</v>
      </c>
      <c r="AA12" s="115">
        <v>4</v>
      </c>
      <c r="AB12" s="26" t="s">
        <v>625</v>
      </c>
      <c r="AC12" s="115">
        <f t="shared" si="1"/>
        <v>60</v>
      </c>
      <c r="AD12" s="115">
        <v>15</v>
      </c>
      <c r="AE12" s="115">
        <v>4</v>
      </c>
      <c r="AF12" s="26" t="s">
        <v>810</v>
      </c>
      <c r="AG12" s="115">
        <f t="shared" si="2"/>
        <v>20</v>
      </c>
      <c r="AH12" s="115">
        <v>5</v>
      </c>
      <c r="AI12" s="115">
        <v>4</v>
      </c>
      <c r="AJ12" s="26" t="s">
        <v>549</v>
      </c>
      <c r="AK12" s="115">
        <f t="shared" si="3"/>
        <v>102</v>
      </c>
      <c r="AL12" s="115">
        <v>34</v>
      </c>
      <c r="AM12" s="115">
        <v>3</v>
      </c>
      <c r="AN12" s="26" t="s">
        <v>1179</v>
      </c>
      <c r="AO12" s="115">
        <f t="shared" si="4"/>
        <v>36</v>
      </c>
      <c r="AP12" s="115">
        <v>9</v>
      </c>
      <c r="AQ12" s="115">
        <v>4</v>
      </c>
      <c r="AR12" s="26" t="s">
        <v>813</v>
      </c>
    </row>
    <row r="13" spans="1:44" ht="28.5" customHeight="1">
      <c r="A13" s="26">
        <f t="shared" ref="A13:A17" si="11">B13*C13</f>
        <v>36</v>
      </c>
      <c r="B13" s="115">
        <v>9</v>
      </c>
      <c r="C13" s="115">
        <v>4</v>
      </c>
      <c r="D13" s="26" t="s">
        <v>1310</v>
      </c>
      <c r="E13" s="26">
        <f t="shared" si="7"/>
        <v>64</v>
      </c>
      <c r="F13" s="26">
        <v>16</v>
      </c>
      <c r="G13" s="26">
        <v>4</v>
      </c>
      <c r="H13" s="26" t="s">
        <v>1311</v>
      </c>
      <c r="I13" s="26">
        <f t="shared" si="8"/>
        <v>12</v>
      </c>
      <c r="J13" s="115">
        <v>3</v>
      </c>
      <c r="K13" s="115">
        <v>4</v>
      </c>
      <c r="L13" s="26" t="s">
        <v>1312</v>
      </c>
      <c r="M13" s="26">
        <f t="shared" si="9"/>
        <v>20</v>
      </c>
      <c r="N13" s="26">
        <v>5</v>
      </c>
      <c r="O13" s="26">
        <v>4</v>
      </c>
      <c r="P13" s="26" t="s">
        <v>1313</v>
      </c>
      <c r="Q13" s="26">
        <f t="shared" si="10"/>
        <v>44</v>
      </c>
      <c r="R13" s="115">
        <v>11</v>
      </c>
      <c r="S13" s="115">
        <v>4</v>
      </c>
      <c r="T13" s="26" t="s">
        <v>1314</v>
      </c>
      <c r="U13" s="121">
        <f t="shared" si="6"/>
        <v>36</v>
      </c>
      <c r="V13" s="115">
        <v>9</v>
      </c>
      <c r="W13" s="115">
        <v>4</v>
      </c>
      <c r="X13" s="26" t="s">
        <v>1315</v>
      </c>
      <c r="Y13" s="115">
        <f t="shared" si="5"/>
        <v>28</v>
      </c>
      <c r="Z13" s="115">
        <v>7</v>
      </c>
      <c r="AA13" s="115">
        <v>4</v>
      </c>
      <c r="AB13" s="26" t="s">
        <v>1316</v>
      </c>
      <c r="AC13" s="115">
        <f t="shared" si="1"/>
        <v>12</v>
      </c>
      <c r="AD13" s="115">
        <v>3</v>
      </c>
      <c r="AE13" s="115">
        <v>4</v>
      </c>
      <c r="AF13" s="26" t="s">
        <v>1317</v>
      </c>
      <c r="AG13" s="115">
        <f t="shared" si="2"/>
        <v>16</v>
      </c>
      <c r="AH13" s="115">
        <v>4</v>
      </c>
      <c r="AI13" s="115">
        <v>4</v>
      </c>
      <c r="AJ13" s="26" t="s">
        <v>1318</v>
      </c>
      <c r="AK13" s="115">
        <f t="shared" si="3"/>
        <v>48</v>
      </c>
      <c r="AL13" s="26">
        <v>12</v>
      </c>
      <c r="AM13" s="26">
        <v>4</v>
      </c>
      <c r="AN13" s="26" t="s">
        <v>1319</v>
      </c>
      <c r="AO13" s="115">
        <f t="shared" si="4"/>
        <v>57</v>
      </c>
      <c r="AP13" s="115">
        <v>19</v>
      </c>
      <c r="AQ13" s="115">
        <v>3</v>
      </c>
      <c r="AR13" s="26" t="s">
        <v>674</v>
      </c>
    </row>
    <row r="14" spans="1:44" ht="25.5">
      <c r="A14" s="26">
        <f t="shared" si="11"/>
        <v>68</v>
      </c>
      <c r="B14" s="26">
        <v>17</v>
      </c>
      <c r="C14" s="115">
        <v>4</v>
      </c>
      <c r="D14" s="26" t="s">
        <v>867</v>
      </c>
      <c r="E14" s="26">
        <f t="shared" si="7"/>
        <v>4</v>
      </c>
      <c r="F14" s="115">
        <v>1</v>
      </c>
      <c r="G14" s="115">
        <v>4</v>
      </c>
      <c r="H14" s="26" t="s">
        <v>1320</v>
      </c>
      <c r="I14" s="26">
        <f t="shared" si="8"/>
        <v>28</v>
      </c>
      <c r="J14" s="115">
        <v>7</v>
      </c>
      <c r="K14" s="115">
        <v>4</v>
      </c>
      <c r="L14" s="26" t="s">
        <v>1321</v>
      </c>
      <c r="M14" s="26">
        <f t="shared" si="9"/>
        <v>40</v>
      </c>
      <c r="N14" s="115">
        <v>10</v>
      </c>
      <c r="O14" s="115">
        <v>4</v>
      </c>
      <c r="P14" s="26" t="s">
        <v>1322</v>
      </c>
    </row>
    <row r="15" spans="1:44" ht="25.5">
      <c r="A15" s="26">
        <f t="shared" si="11"/>
        <v>140</v>
      </c>
      <c r="B15" s="26">
        <v>35</v>
      </c>
      <c r="C15" s="115">
        <v>4</v>
      </c>
      <c r="D15" s="26" t="s">
        <v>867</v>
      </c>
      <c r="E15" s="26">
        <f t="shared" si="7"/>
        <v>268</v>
      </c>
      <c r="F15" s="115">
        <v>67</v>
      </c>
      <c r="G15" s="115">
        <v>4</v>
      </c>
      <c r="H15" s="26" t="s">
        <v>302</v>
      </c>
      <c r="L15" s="111">
        <f>E13+I13+I14+M14+Q13+U13+Y13+AC13+AG13+AK13+A13</f>
        <v>364</v>
      </c>
      <c r="AK15" s="115">
        <f t="shared" si="3"/>
        <v>156</v>
      </c>
      <c r="AL15" s="115">
        <v>26</v>
      </c>
      <c r="AM15" s="115">
        <v>6</v>
      </c>
      <c r="AN15" s="26" t="s">
        <v>109</v>
      </c>
      <c r="AO15" s="115">
        <f t="shared" si="4"/>
        <v>180</v>
      </c>
      <c r="AP15" s="115">
        <v>36</v>
      </c>
      <c r="AQ15" s="115">
        <v>5</v>
      </c>
      <c r="AR15" s="115" t="s">
        <v>1309</v>
      </c>
    </row>
    <row r="16" spans="1:44" ht="28.5" customHeight="1">
      <c r="A16" s="26">
        <f t="shared" si="11"/>
        <v>80</v>
      </c>
      <c r="B16" s="26">
        <v>20</v>
      </c>
      <c r="C16" s="115">
        <v>4</v>
      </c>
      <c r="D16" s="26" t="s">
        <v>867</v>
      </c>
      <c r="E16" s="26">
        <f t="shared" si="7"/>
        <v>15</v>
      </c>
      <c r="F16" s="115">
        <v>5</v>
      </c>
      <c r="G16" s="115">
        <v>3</v>
      </c>
      <c r="H16" s="26" t="s">
        <v>915</v>
      </c>
      <c r="I16" s="26">
        <f t="shared" si="8"/>
        <v>60</v>
      </c>
      <c r="J16" s="26">
        <v>15</v>
      </c>
      <c r="K16" s="26">
        <v>4</v>
      </c>
      <c r="L16" s="26" t="s">
        <v>376</v>
      </c>
      <c r="M16" s="26">
        <f t="shared" si="9"/>
        <v>8</v>
      </c>
      <c r="N16" s="26">
        <v>2</v>
      </c>
      <c r="O16" s="26">
        <v>4</v>
      </c>
      <c r="P16" s="26" t="s">
        <v>813</v>
      </c>
      <c r="Q16" s="26">
        <f t="shared" si="10"/>
        <v>12</v>
      </c>
      <c r="R16" s="26">
        <v>3</v>
      </c>
      <c r="S16" s="26">
        <v>4</v>
      </c>
      <c r="T16" s="26" t="s">
        <v>948</v>
      </c>
      <c r="U16" s="121">
        <f t="shared" si="6"/>
        <v>4</v>
      </c>
      <c r="V16" s="115">
        <v>1</v>
      </c>
      <c r="W16" s="115">
        <v>4</v>
      </c>
      <c r="X16" s="26" t="s">
        <v>620</v>
      </c>
      <c r="Y16" s="115">
        <f t="shared" si="5"/>
        <v>16</v>
      </c>
      <c r="Z16" s="115">
        <v>4</v>
      </c>
      <c r="AA16" s="115">
        <v>4</v>
      </c>
      <c r="AB16" s="26" t="s">
        <v>1112</v>
      </c>
      <c r="AC16" s="115">
        <f t="shared" si="1"/>
        <v>12</v>
      </c>
      <c r="AD16" s="115">
        <v>3</v>
      </c>
      <c r="AE16" s="115">
        <v>4</v>
      </c>
      <c r="AF16" s="26" t="s">
        <v>877</v>
      </c>
      <c r="AG16" s="115">
        <f t="shared" si="2"/>
        <v>20</v>
      </c>
      <c r="AH16" s="115">
        <v>5</v>
      </c>
      <c r="AI16" s="115">
        <v>4</v>
      </c>
      <c r="AJ16" s="26" t="s">
        <v>382</v>
      </c>
      <c r="AK16" s="115">
        <f t="shared" si="3"/>
        <v>315</v>
      </c>
      <c r="AL16" s="115">
        <v>45</v>
      </c>
      <c r="AM16" s="115">
        <v>7</v>
      </c>
      <c r="AN16" s="26" t="s">
        <v>1323</v>
      </c>
      <c r="AO16" s="115">
        <f t="shared" si="4"/>
        <v>24</v>
      </c>
      <c r="AP16" s="115">
        <v>6</v>
      </c>
      <c r="AQ16" s="115">
        <v>4</v>
      </c>
      <c r="AR16" s="26" t="s">
        <v>877</v>
      </c>
    </row>
    <row r="17" spans="1:44" ht="28.5" customHeight="1">
      <c r="A17" s="26">
        <f t="shared" si="11"/>
        <v>24</v>
      </c>
      <c r="B17" s="26">
        <v>6</v>
      </c>
      <c r="C17" s="26">
        <v>4</v>
      </c>
      <c r="D17" s="26" t="s">
        <v>867</v>
      </c>
      <c r="E17" s="26">
        <f t="shared" si="7"/>
        <v>24</v>
      </c>
      <c r="F17" s="115">
        <v>6</v>
      </c>
      <c r="G17" s="115">
        <v>4</v>
      </c>
      <c r="H17" s="26" t="s">
        <v>109</v>
      </c>
      <c r="I17" s="26">
        <f t="shared" si="8"/>
        <v>24</v>
      </c>
      <c r="J17" s="115">
        <v>6</v>
      </c>
      <c r="K17" s="115">
        <v>4</v>
      </c>
      <c r="L17" s="26" t="s">
        <v>412</v>
      </c>
      <c r="M17" s="26">
        <f t="shared" si="9"/>
        <v>172</v>
      </c>
      <c r="N17" s="115">
        <v>43</v>
      </c>
      <c r="O17" s="115">
        <v>4</v>
      </c>
      <c r="P17" s="26" t="s">
        <v>302</v>
      </c>
      <c r="AO17" s="115">
        <v>500</v>
      </c>
      <c r="AR17" s="26" t="s">
        <v>302</v>
      </c>
    </row>
    <row r="18" spans="1:44" ht="1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AO18" s="115"/>
      <c r="AR18" s="26"/>
    </row>
    <row r="19" spans="1:44" ht="28.5" customHeight="1">
      <c r="A19" s="115">
        <f t="shared" ref="A19:AC19" si="12">SUM(A4:A18)</f>
        <v>402</v>
      </c>
      <c r="B19" s="120"/>
      <c r="C19" s="120"/>
      <c r="D19" s="120"/>
      <c r="E19" s="115">
        <f t="shared" si="12"/>
        <v>435</v>
      </c>
      <c r="F19" s="120"/>
      <c r="G19" s="120"/>
      <c r="H19" s="120"/>
      <c r="I19" s="115">
        <f t="shared" si="12"/>
        <v>160</v>
      </c>
      <c r="J19" s="120"/>
      <c r="K19" s="120"/>
      <c r="L19" s="120"/>
      <c r="M19" s="115">
        <f t="shared" si="12"/>
        <v>336</v>
      </c>
      <c r="N19" s="120"/>
      <c r="O19" s="120"/>
      <c r="P19" s="120"/>
      <c r="Q19" s="115">
        <f t="shared" si="12"/>
        <v>92</v>
      </c>
      <c r="U19" s="115">
        <f t="shared" si="12"/>
        <v>308</v>
      </c>
      <c r="Y19" s="115">
        <f t="shared" si="12"/>
        <v>316</v>
      </c>
      <c r="AC19" s="115">
        <f t="shared" si="12"/>
        <v>192</v>
      </c>
      <c r="AG19" s="115">
        <f>SUM(AG5:AG18)</f>
        <v>520</v>
      </c>
      <c r="AK19" s="115">
        <f>SUM(AK5:AK18)</f>
        <v>1744</v>
      </c>
      <c r="AO19" s="115">
        <f>SUM(AO3:AO18)</f>
        <v>3961</v>
      </c>
    </row>
    <row r="20" spans="1:44" ht="28.5" customHeight="1">
      <c r="C20" s="118" t="s">
        <v>1299</v>
      </c>
      <c r="D20" s="118">
        <f>SUM(A19:AO19)</f>
        <v>8466</v>
      </c>
      <c r="E20" s="117">
        <f>SUMIF(AR5:AR18,H20,AO5:AO18)+SUMIF(AN5:AN19,H20,AK5:AK19)+SUMIF(AJ5:AJ19,H20,AG5:AG19)+SUMIF(AF4:AF19,H20,AC4:AC19)+SUMIF(AB4:AB19,H20,Y4:Y19)+SUMIF(X4:X19,H20,U4:U19)+SUMIF(T4:T19,H20,Q4:Q19)+SUMIF(P4:P19,H20,M4:M19)+SUMIF(L4:L19,P23,I4:I19)+SUMIF(H4:H19,H20,E4:E19)+SUMIF(D4:D19,H20,A4:A19)</f>
        <v>315</v>
      </c>
      <c r="H20" s="26" t="s">
        <v>1323</v>
      </c>
      <c r="I20" s="117">
        <f>SUMIF(AR5:AR18,L20,AO5:AO18)+SUMIF(AN5:AN19,L20,AK5:AK19)+SUMIF(AJ5:AJ19,L20,AG5:AG19)+SUMIF(AF4:AF19,L20,AC4:AC19)+SUMIF(AB4:AB19,L20,Y4:Y19)+SUMIF(X4:X19,L20,U4:U19)+SUMIF(T4:T19,L20,Q4:Q19)+SUMIF(P4:P19,L20,M4:M19)+SUMIF(L4:L19,L20,I4:I19)+SUMIF(H4:H19,L20,E4:E19)+SUMIF(D4:D19,L20,A4:A19)</f>
        <v>24</v>
      </c>
      <c r="L20" s="26" t="s">
        <v>595</v>
      </c>
      <c r="M20" s="117">
        <f>SUMIF(AR5:AR18,P20,AO5:AO18)+SUMIF(AN5:AN19,P20,AK5:AK19)+SUMIF(AJ5:AJ19,P20,AG5:AG19)+SUMIF(AF4:AF19,P20,AC4:AC19)+SUMIF(AB4:AB19,P20,Y4:Y19)+SUMIF(X4:X19,P20,U4:U19)+SUMIF(T4:T19,P20,Q4:Q19)+SUMIF(P4:P19,P20,M4:M19)+SUMIF(L4:L19,P20,I4:I19)+SUMIF(H4:H19,P20,E4:E19)+SUMIF(D4:D19,P20,A4:A19)</f>
        <v>35</v>
      </c>
      <c r="P20" s="89" t="s">
        <v>915</v>
      </c>
    </row>
    <row r="21" spans="1:44" ht="28.5" customHeight="1">
      <c r="A21" s="120"/>
      <c r="B21" s="120"/>
      <c r="E21" s="117">
        <f>SUMIF(AR4:AR18,H21,AO4:AO18)+SUMIF(AN4:AN19,H21,AK4:AM19)+SUMIF(AJ4:AJ19,H21,AG4:AG19)+SUMIF(AF4:AF19,H21,AC4:AC19)+SUMIF(AB4:AB19,H21,Y4:Y19)+SUMIF(X4:X19,H21,U4:U19)+SUMIF(T4:T19,H21,Q4:Q19)+SUMIF(P4:P19,H21,M4:M19)+SUMIF(L4:L19,H21,I4:I19)+SUMIF(H4:H19,H21,E4:E19)+SUMIF(D4:D19,H21,A4:A19)</f>
        <v>1244</v>
      </c>
      <c r="H21" s="26" t="s">
        <v>78</v>
      </c>
      <c r="I21" s="117">
        <f>SUMIF(AR5:AR18,L21,AO5:AO18)+SUMIF(AN5:AN19,L21,AK5:AK19)+SUMIF(AJ5:AJ19,L21,AG5:AG19)+SUMIF(AF4:AF19,L21,AC4:AC19)+SUMIF(AB4:AB19,L21,Y4:Y19)+SUMIF(X4:X19,L21,U4:U19)+SUMIF(T4:T19,L21,Q4:Q19)+SUMIF(P4:P19,L21,M4:M19)+SUMIF(L4:L19,L21,I4:I19)+SUMIF(H4:H19,L21,E4:E19)+SUMIF(D4:D19,L21,A4:A19)</f>
        <v>4</v>
      </c>
      <c r="J21" s="120"/>
      <c r="L21" s="26" t="s">
        <v>620</v>
      </c>
      <c r="M21" s="117">
        <f>SUMIF(AR5:AR18,P21,AO5:AO18)+SUMIF(AN5:AN19,P21,AK5:AK19)+SUMIF(AJ5:AJ19,P21,AG5:AG19)+SUMIF(AF4:AF19,P21,AC4:AC19)+SUMIF(AB4:AB19,P21,Y4:Y19)+SUMIF(X4:X19,P21,U4:U19)+SUMIF(T4:T19,P21,Q4:Q19)+SUMIF(P4:P19,P21,M4:M19)+SUMIF(L4:L19,P21,I4:I19)+SUMIF(H4:H19,P21,E4:E19)+SUMIF(D4:D19,P21,A4:A19)</f>
        <v>12</v>
      </c>
      <c r="N21" s="120"/>
      <c r="O21" s="120"/>
      <c r="P21" s="26" t="s">
        <v>948</v>
      </c>
      <c r="Q21" s="120"/>
    </row>
    <row r="22" spans="1:44" ht="28.5" customHeight="1">
      <c r="A22" s="120"/>
      <c r="B22" s="120"/>
      <c r="C22" s="120"/>
      <c r="D22" s="120"/>
      <c r="E22" s="117">
        <f>SUMIF(AR5:AR18,H22,AO5:AO18)+SUMIF(AN5:AN19,H22,AK5:AK19)+SUMIF(AJ5:AJ19,H22,AG5:AG19)+SUMIF(AF4:AF19,H22,AC4:AC19)+SUMIF(AB4:AB19,H22,Y4:Y19)+SUMIF(X4:X19,H22,U4:U19)+SUMIF(T4:T19,H22,Q4:Q19)+SUMIF(P4:P19,H22,M4:M19)+SUMIF(L4:L19,H22,I4:I19)+SUMIF(H4:H19,H22,E4:E19)+SUMIF(D4:D19,H22,A4:A19)</f>
        <v>506</v>
      </c>
      <c r="F22" s="120"/>
      <c r="H22" s="26" t="s">
        <v>84</v>
      </c>
      <c r="I22" s="117">
        <f>SUMIF(AR5:AR18,L22,AO5:AO18)+SUMIF(AN5:AN19,L22,AK5:AK19)+SUMIF(AJ5:AJ19,L22,AG5:AG19)+SUMIF(AF4:AF19,L22,AC4:AC19)+SUMIF(AB4:AB19,L22,Y4:Y19)+SUMIF(X4:X19,L22,U4:U19)+SUMIF(T4:T19,L22,Q4:Q19)+SUMIF(P4:P19,L22,M4:M19)+SUMIF(L4:L19,L22,I4:I19)+SUMIF(H4:H19,L22,E4:E19)+SUMIF(D4:D19,L22,A4:A19)</f>
        <v>200</v>
      </c>
      <c r="J22" s="120"/>
      <c r="L22" s="26" t="s">
        <v>625</v>
      </c>
      <c r="M22" s="117">
        <f>SUMIF(AR5:AR18,P22,AO5:AO18)+SUMIF(AN5:AN19,P22,AK5:AK19)+SUMIF(AJ5:AJ19,P22,AG5:AG19)+SUMIF(AF4:AF19,P22,AC4:AC19)+SUMIF(AB4:AB19,P22,Y4:Y19)+SUMIF(X4:X19,P22,U4:U19)+SUMIF(T4:T19,P22,Q4:Q19)+SUMIF(P4:P19,P22,M4:M19)+SUMIF(L4:L19,P22,I4:I19)+SUMIF(H4:H19,P22,E4:E19)+SUMIF(D4:D19,P22,A4:A19)</f>
        <v>755</v>
      </c>
      <c r="N22" s="120"/>
      <c r="O22" s="120"/>
      <c r="P22" s="26" t="s">
        <v>1306</v>
      </c>
      <c r="Q22" s="120"/>
    </row>
    <row r="23" spans="1:44" ht="28.5" customHeight="1">
      <c r="E23" s="117">
        <f>SUMIF(AR3:AR18,H23,AO3:AO18)+SUMIF(AN5:AN19,H23,AK5:AK19)+SUMIF(AJ5:AJ19,H23,AG5:AG19)+SUMIF(AF4:AF19,H23,AC4:AC19)+SUMIF(AB4:AB19,H23,Y4:Y19)+SUMIF(X4:X19,H23,U4:U19)+SUMIF(T4:T19,H23,Q4:Q19)+SUMIF(P4:P19,H23,M4:M19)+SUMIF(L4:L19,H23,I4:I19)+SUMIF(H4:H19,AS57,E4:E19)+SUMIF(D4:D19,H23,A4:A19)</f>
        <v>1320</v>
      </c>
      <c r="H23" s="26" t="s">
        <v>112</v>
      </c>
      <c r="I23" s="117">
        <f>SUMIF(AR5:AR18,L23,AO5:AO18)+SUMIF(AN5:AN19,L23,AK5:AK19)+SUMIF(AJ5:AJ19,L23,AG5:AG19)+SUMIF(AF4:AF19,L23,AC4:AC19)+SUMIF(AB4:AB19,L23,Y4:Y19)+SUMIF(X4:X19,L23,U4:U19)+SUMIF(T4:T19,L23,Q4:Q19)+SUMIF(P4:P19,L23,M4:M19)+SUMIF(L4:L19,L23,I4:I19)+SUMIF(H4:H19,L23,E4:E19)+SUMIF(D4:D19,L23,A4:A19)</f>
        <v>251</v>
      </c>
      <c r="L23" s="26" t="s">
        <v>674</v>
      </c>
      <c r="M23" s="117">
        <f>SUMIF(AR5:AR18,P23,AO5:AO18)+SUMIF(AN5:AN19,P23,AK5:AK19)+SUMIF(AJ5:AJ19,P23,AG5:AG19)+SUMIF(AF4:AF19,P23,AC4:AC19)+SUMIF(AB4:AB19,P23,Y4:Y19)+SUMIF(X4:X19,P23,U4:U19)+SUMIF(T4:T19,P23,Q4:Q19)+SUMIF(P4:P19,P23,M4:M19)+SUMIF(L4:L19,P23,I4:I19)+SUMIF(H4:H19,P23,E4:E19)+SUMIF(D4:D19,P23,A4:A19)</f>
        <v>28</v>
      </c>
      <c r="P23" s="26" t="s">
        <v>954</v>
      </c>
    </row>
    <row r="24" spans="1:44" ht="28.5" customHeight="1">
      <c r="E24" s="117">
        <f>SUMIF(AR5:AR18,H24,AO5:AO18)+SUMIF(AN5:AN19,H24,AK5:AK19)+SUMIF(AJ5:AJ19,H24,AG5:AG19)+SUMIF(AF4:AF19,H24,AC4:AC19)+SUMIF(AB4:AB19,H24,Y4:Y19)+SUMIF(X4:X19,H24,U4:U19)+SUMIF(T4:T19,H24,Q4:Q19)+SUMIF(P4:P19,H24,M4:M19)+SUMIF(L4:L19,H24,I4:I19)+SUMIF(H4:H19,H24,E4:E19)+SUMIF(D4:D19,H24,A4:A19)</f>
        <v>180</v>
      </c>
      <c r="H24" s="26" t="s">
        <v>109</v>
      </c>
      <c r="I24" s="117">
        <f>SUMIF(AR5:AR18,L24,AO5:AO18)+SUMIF(AN5:AN19,L24,AK5:AK19)+SUMIF(AJ5:AJ19,L24,AG5:AG19)+SUMIF(AF4:AF19,L24,AC4:AC19)+SUMIF(AB4:AB19,L24,Y4:Y19)+SUMIF(X4:X19,L24,U4:U19)+SUMIF(T4:T19,L24,Q4:Q19)+SUMIF(P4:P19,L24,M4:M19)+SUMIF(L4:L19,L24,I4:I19)+SUMIF(H4:H19,L24,E4:E19)+SUMIF(D4:D19,L24,A4:A19)</f>
        <v>20</v>
      </c>
      <c r="L24" s="26" t="s">
        <v>1313</v>
      </c>
      <c r="M24" s="117">
        <f>SUMIF(AR5:AR18,P24,AO5:AO18)+SUMIF(AN5:AN19,P24,AK5:AK19)+SUMIF(AJ5:AJ19,P24,AG5:AG19)+SUMIF(AF4:AF19,P24,AC4:AC19)+SUMIF(AB4:AB19,P24,Y4:Y19)+SUMIF(X4:X19,P24,U4:U19)+SUMIF(T4:T19,P24,Q4:Q19)+SUMIF(P4:P19,P24,M4:M19)+SUMIF(L4:L19,P24,I4:I19)+SUMIF(H4:H19,P24,E4:E19)+SUMIF(D4:D19,P24,A4:A19)</f>
        <v>16</v>
      </c>
      <c r="P24" s="26" t="s">
        <v>1112</v>
      </c>
    </row>
    <row r="25" spans="1:44" ht="28.5" customHeight="1">
      <c r="E25" s="117">
        <f>SUMIF(AR5:AR18,H25,AO5:AO18)+SUMIF(AN5:AN19,H25,AK5:AK19)+SUMIF(AJ5:AJ19,H25,AG5:AG19)+SUMIF(AF4:AF19,H25,AC4:AC19)+SUMIF(AB4:AB19,H25,Y4:Y19)+SUMIF(X4:X19,H25,U4:U19)+SUMIF(T4:T19,H25,Q4:Q19)+SUMIF(P4:P19,H25,M4:M19)+SUMIF(L4:L19,H25,I4:I19)+SUMIF(H4:H19,H25,E4:E19)+SUMIF(D4:D19,H25,A4:A19)</f>
        <v>976</v>
      </c>
      <c r="H25" s="26" t="s">
        <v>302</v>
      </c>
      <c r="I25" s="117">
        <f>SUMIF(AR5:AR18,L25,AO5:AO18)+SUMIF(AN5:AN19,L25,AK5:AK19)+SUMIF(AJ5:AJ19,L25,AG5:AG19)+SUMIF(AF4:AF19,L25,AC4:AC19)+SUMIF(AB4:AB19,L25,Y4:Y19)+SUMIF(X4:X19,L25,U4:U19)+SUMIF(T4:T19,L25,Q4:Q19)+SUMIF(P4:P19,L25,M4:M19)+SUMIF(L4:L19,L25,I4:I19)+SUMIF(H4:H19,L25,E4:E19)+SUMIF(D4:D19,L25,A4:A19)</f>
        <v>212</v>
      </c>
      <c r="L25" s="26" t="s">
        <v>741</v>
      </c>
      <c r="M25" s="117">
        <f>SUMIF(AR5:AR18,P25,AO5:AO18)+SUMIF(AN5:AN19,P25,AK5:AK19)+SUMIF(AJ5:AJ19,P25,AG5:AG19)+SUMIF(AF4:AF19,P25,AC4:AC19)+SUMIF(AB4:AB19,P25,Y4:Y19)+SUMIF(X4:X19,P25,U4:U19)+SUMIF(T4:T19,P25,Q4:Q19)+SUMIF(P4:P19,P25,M4:M19)+SUMIF(L4:L19,P25,I4:I19)+SUMIF(H4:H19,P25,E4:E19)+SUMIF(D4:D19,P25,A4:A19)</f>
        <v>66</v>
      </c>
      <c r="P25" s="26" t="s">
        <v>1167</v>
      </c>
    </row>
    <row r="26" spans="1:44" ht="28.5" customHeight="1">
      <c r="E26" s="117">
        <f>SUMIF(AR5:AR18,H26,AO5:AO18)+SUMIF(AN5:AN19,H26,AK5:AK19)+SUMIF(AJ5:AJ19,H26,AG5:AG19)+SUMIF(AF4:AF19,H26,AC4:AC19)+SUMIF(AB4:AB19,H26,Y4:Y19)+SUMIF(X4:X19,H26,U4:U19)+SUMIF(T4:T19,H26,Q4:Q19)+SUMIF(P4:P19,H26,M4:M19)+SUMIF(L4:L19,H26,I4:I19)+SUMIF(H4:H19,H26,E4:E19)+SUMIF(D4:D19,H26,A4:A19)</f>
        <v>280</v>
      </c>
      <c r="H26" s="26" t="s">
        <v>1309</v>
      </c>
      <c r="I26" s="117">
        <f>SUMIF(AR5:AR18,L26,AO5:AO18)+SUMIF(AN5:AN19,L26,AK5:AK19)+SUMIF(AJ5:AJ19,L26,AG5:AG19)+SUMIF(AF4:AF19,L26,AC4:AC19)+SUMIF(AB4:AB19,L26,Y4:Y19)+SUMIF(X4:X19,L26,U4:U19)+SUMIF(T4:T19,L26,Q4:Q19)+SUMIF(P4:P19,L26,M4:M19)+SUMIF(L4:L19,L26,I4:I19)+SUMIF(H4:H19,L26,E4:E19)+SUMIF(D4:D19,L26,A4:A19)</f>
        <v>356</v>
      </c>
      <c r="L26" s="26" t="s">
        <v>764</v>
      </c>
      <c r="M26" s="117">
        <f>SUMIF(AR5:AR18,P26,AO5:AO18)+SUMIF(AN5:AN19,P26,AK5:AK19)+SUMIF(AJ5:AJ19,P26,AG5:AG19)+SUMIF(AF4:AF19,P26,AC4:AC19)+SUMIF(AB4:AB19,P26,Y4:Y19)+SUMIF(X4:X19,P26,U4:U19)+SUMIF(T4:T19,P26,Q4:Q19)+SUMIF(P4:P19,P26,M4:M19)+SUMIF(L4:L19,P26,I4:I19)+SUMIF(H4:H19,P26,E4:E19)+SUMIF(D4:D19,P26,A4:A19)</f>
        <v>36</v>
      </c>
      <c r="P26" s="26" t="s">
        <v>1175</v>
      </c>
    </row>
    <row r="27" spans="1:44" ht="28.5" customHeight="1">
      <c r="E27" s="117">
        <f>SUMIF(AR5:AR18,H27,AO5:AO18)+SUMIF(AN5:AN19,H27,AK5:AK19)+SUMIF(AJ5:AJ19,H27,AG5:AG19)+SUMIF(AF4:AF19,H27,AC4:AC19)+SUMIF(AB4:AB19,H27,Y4:Y19)+SUMIF(X4:X19,H27,U4:U19)+SUMIF(T4:T19,H27,Q4:Q19)+SUMIF(P4:P19,H27,M4:M19)+SUMIF(L4:L19,H27,I4:I19)+SUMIF(H4:H19,H27,E4:E19)+SUMIF(D4:D19,H27,A4:A19)</f>
        <v>60</v>
      </c>
      <c r="H27" s="26" t="s">
        <v>376</v>
      </c>
      <c r="I27" s="117">
        <f>SUMIF(AR5:AR18,L27,AO5:AO18)+SUMIF(AN5:AN19,L27,AK5:AK19)+SUMIF(AJ5:AJ19,L27,AG5:AG19)+SUMIF(AF4:AF19,L27,AC4:AC19)+SUMIF(AB4:AB19,L27,Y4:Y19)+SUMIF(X4:X19,L27,U4:U19)+SUMIF(T4:T19,L27,Q4:Q19)+SUMIF(P4:P19,L27,M4:M19)+SUMIF(L4:L19,L27,I4:I19)+SUMIF(H4:H19,L27,E4:E19)+SUMIF(D4:D19,L27,A4:A19)</f>
        <v>44</v>
      </c>
      <c r="L27" s="26" t="s">
        <v>813</v>
      </c>
      <c r="M27" s="117">
        <f>SUMIF(AR5:AR18,P27,AO5:AO18)+SUMIF(AN5:AN19,P27,AK5:AK19)+SUMIF(AJ5:AJ19,P27,AG5:AG19)+SUMIF(AF4:AF19,P27,AC4:AC19)+SUMIF(AB4:AB19,P27,Y4:Y19)+SUMIF(X4:X19,P27,U4:U19)+SUMIF(T4:T19,P27,Q4:Q19)+SUMIF(P4:P19,P27,M4:M19)+SUMIF(L4:L19,P27,I4:I19)+SUMIF(H4:H19,P27,E4:E19)+SUMIF(D4:D19,P27,A4:A19)</f>
        <v>118</v>
      </c>
      <c r="P27" s="26" t="s">
        <v>1179</v>
      </c>
    </row>
    <row r="28" spans="1:44" ht="28.5" customHeight="1">
      <c r="E28" s="117">
        <f>SUMIF(AR5:AR18,H28,AO5:AO18)+SUMIF(AN5:AN19,H28,AK5:AK19)+SUMIF(AJ5:AJ19,H28,AG5:AG19)+SUMIF(AF4:AF19,H28,AC4:AC19)+SUMIF(AB4:AB19,H28,Y4:Y19)+SUMIF(X4:X19,H28,U4:U19)+SUMIF(T4:T19,H28,Q4:Q19)+SUMIF(P4:P19,H28,M4:M19)+SUMIF(L4:L19,H28,I4:I19)+SUMIF(H4:H19,H28,E4:E19)+SUMIF(D4:D19,H28,A4:A19)</f>
        <v>24</v>
      </c>
      <c r="H28" s="26" t="s">
        <v>412</v>
      </c>
      <c r="I28" s="117">
        <f>SUMIF(AR5:AR18,L28,AO5:AO18)+SUMIF(AN5:AN19,L28,AK5:AK19)+SUMIF(AJ5:AJ19,L28,AG5:AG19)+SUMIF(AF4:AF19,L28,AC4:AC19)+SUMIF(AB4:AB19,L28,Y4:Y19)+SUMIF(X4:X19,L28,U4:U19)+SUMIF(T4:T19,L28,Q4:Q19)+SUMIF(P4:P19,L28,M4:M19)+SUMIF(L4:L19,L28,I4:I19)+SUMIF(H4:H19,L28,E4:E19)+SUMIF(D4:D19,L28,A4:A19)</f>
        <v>80</v>
      </c>
      <c r="L28" s="26" t="s">
        <v>810</v>
      </c>
      <c r="M28" s="117">
        <f>SUMIF(AR5:AR18,P28,AO5:AO18)+SUMIF(AN5:AN19,P28,AK5:AK19)+SUMIF(AJ5:AJ19,P28,AG5:AG19)+SUMIF(AF4:AF19,P28,AC4:AC19)+SUMIF(AB4:AB19,P28,Y4:Y19)+SUMIF(X4:X19,P28,U4:U19)+SUMIF(T4:T19,P28,Q4:Q19)+SUMIF(P4:P19,P28,M4:M19)+SUMIF(L4:L19,P28,I4:I19)+SUMIF(H4:H19,P28,E4:E19)+SUMIF(D4:D19,P28,A4:A19)</f>
        <v>60</v>
      </c>
      <c r="P28" s="26" t="s">
        <v>1227</v>
      </c>
    </row>
    <row r="29" spans="1:44" ht="28.5" customHeight="1">
      <c r="E29" s="117">
        <f>SUMIF(AR5:AR18,H29,AO5:AO18)+SUMIF(AN5:AN19,H29,AK5:AK19)+SUMIF(AJ5:AJ19,H29,AG5:AG19)+SUMIF(AF4:AF19,H29,AC4:AC19)+SUMIF(AB4:AB19,H29,Y4:Y19)+SUMIF(X4:X19,H29,U4:U19)+SUMIF(T4:T19,H29,Q4:Q19)+SUMIF(P4:P19,H29,M4:M19)+SUMIF(L4:L19,H29,I4:I19)+SUMIF(H4:H19,H29,E4:E19)+SUMIF(D4:D19,H29,A4:A19)</f>
        <v>0</v>
      </c>
      <c r="H29" s="26" t="s">
        <v>429</v>
      </c>
      <c r="I29" s="117">
        <f>SUMIF(AR5:AR18,L29,AO5:AO18)+SUMIF(AN5:AN19,L29,AK5:AK19)+SUMIF(AJ5:AJ19,L29,AG5:AG19)+SUMIF(AF4:AF19,L29,AC4:AC19)+SUMIF(AB4:AB19,L29,Y4:Y19)+SUMIF(X4:X19,L29,U4:U19)+SUMIF(T4:T19,L29,Q4:Q19)+SUMIF(P4:P19,L29,M4:M19)+SUMIF(L4:L19,L29,I4:I19)+SUMIF(H4:H19,L29,E4:E19)+SUMIF(D4:D19,L29,A4:A19)</f>
        <v>4</v>
      </c>
      <c r="L29" s="26" t="s">
        <v>1320</v>
      </c>
      <c r="M29" s="117">
        <f>SUMIF(AR5:AR18,P29,AO5:AO18)+SUMIF(AN5:AN19,P29,AK5:AK19)+SUMIF(AJ5:AJ19,P29,AG5:AG19)+SUMIF(AF4:AF19,P29,AC4:AC19)+SUMIF(AB4:AB19,P29,Y4:Y19)+SUMIF(X4:X19,P29,U4:U19)+SUMIF(T4:T19,P29,Q4:Q19)+SUMIF(P4:P19,P29,M4:M19)+SUMIF(L4:L19,P29,I4:I19)+SUMIF(H4:H19,P29,E4:E19)+SUMIF(D4:D19,P29,A4:A19)</f>
        <v>0</v>
      </c>
      <c r="P29" s="26" t="s">
        <v>1230</v>
      </c>
    </row>
    <row r="30" spans="1:44" ht="28.5" customHeight="1">
      <c r="E30" s="117">
        <f>SUMIF(AR5:AR18,H30,AO5:AO18)+SUMIF(AN5:AN19,H30,AK5:AK19)+SUMIF(AJ5:AJ19,H30,AG5:AG19)+SUMIF(AF4:AF19,H30,AC4:AC19)+SUMIF(AB4:AB19,H30,Y4:Y19)+SUMIF(X4:X19,H30,U4:U19)+SUMIF(T4:T19,H30,Q4:Q19)+SUMIF(P4:P19,H30,M4:M19)+SUMIF(L4:L19,H30,I4:I19)+SUMIF(H4:H19,H30,E4:E19)+SUMIF(D4:D19,H30,A4:A19)</f>
        <v>8</v>
      </c>
      <c r="H30" s="26" t="s">
        <v>448</v>
      </c>
      <c r="I30" s="117">
        <f>SUMIF(AR5:AR18,L30,AO5:AO18)+SUMIF(AN5:AN19,L30,AK5:AK19)+SUMIF(AJ5:AJ19,L30,AG5:AG19)+SUMIF(AF4:AF19,L30,AC4:AC19)+SUMIF(AB4:AB19,L30,Y4:Y19)+SUMIF(X4:X19,L30,U4:U19)+SUMIF(T4:T19,L30,Q4:Q19)+SUMIF(P4:P19,L30,M4:M19)+SUMIF(L4:L19,L30,I4:I19)+SUMIF(H4:H19,L30,E4:E19)+SUMIF(D4:D19,L30,A4:A19)</f>
        <v>20</v>
      </c>
      <c r="L30" s="26" t="s">
        <v>856</v>
      </c>
      <c r="M30" s="117">
        <f>SUMIF(AR5:AR18,P30,AO5:AO18)+SUMIF(AN5:AN19,P30,AK5:AK19)+SUMIF(AJ5:AJ19,P30,AG5:AG19)+SUMIF(AF4:AF19,P30,AC4:AC19)+SUMIF(AB4:AB19,P30,Y4:Y19)+SUMIF(X4:X19,P30,U4:U19)+SUMIF(T4:T19,P30,Q4:Q19)+SUMIF(P4:P19,P30,M4:M19)+SUMIF(L4:L19,P30,I4:I19)+SUMIF(H4:H19,P30,E4:E19)+SUMIF(D4:D19,P30,A4:A19)</f>
        <v>440</v>
      </c>
      <c r="P30" s="26" t="s">
        <v>1263</v>
      </c>
    </row>
    <row r="31" spans="1:44" ht="28.5" customHeight="1">
      <c r="E31" s="117">
        <f>SUMIF(AR5:AR18,H31,AO5:AO18)+SUMIF(AN5:AN19,H31,AK5:AK19)+SUMIF(AJ5:AJ19,H31,AG5:AG19)+SUMIF(AF4:AF19,H31,AC4:AC19)+SUMIF(AB4:AB19,H31,Y4:Y19)+SUMIF(X4:X19,H31,U4:U19)+SUMIF(T4:T19,H31,Q4:Q19)+SUMIF(P4:P19,H31,M4:M19)+SUMIF(L4:L19,H31,I4:I19)+SUMIF(H4:H19,H31,E4:E19)+SUMIF(D4:D19,H31,A4:A19)</f>
        <v>20</v>
      </c>
      <c r="H31" s="26" t="s">
        <v>382</v>
      </c>
      <c r="I31" s="117">
        <f>SUMIF(AR5:AR18,L31,AO5:AO18)+SUMIF(AN5:AN19,L31,AK5:AK19)+SUMIF(AJ5:AJ19,L31,AG5:AG19)+SUMIF(AF4:AF19,L31,AC4:AC19)+SUMIF(AB4:AB19,L31,Y4:Y19)+SUMIF(X4:X19,L31,U4:U19)+SUMIF(T4:T19,L31,Q4:Q19)+SUMIF(P4:P19,L31,M4:M19)+SUMIF(L4:L19,L31,I4:I19)+SUMIF(H4:H19,L31,E4:E19)+SUMIF(D4:D19,L31,A4:A19)</f>
        <v>312</v>
      </c>
      <c r="L31" s="26" t="s">
        <v>867</v>
      </c>
      <c r="M31" s="117">
        <f>L15</f>
        <v>364</v>
      </c>
      <c r="P31" s="26" t="s">
        <v>1324</v>
      </c>
    </row>
    <row r="32" spans="1:44" ht="25.5">
      <c r="E32" s="117">
        <f>SUMIF(AR5:AR18,H32,AO5:AO18)+SUMIF(AN5:AN19,H32,AK5:AK19)+SUMIF(AJ5:AJ19,H32,AG5:AG19)+SUMIF(AF4:AF19,H32,AC4:AC19)+SUMIF(AB4:AB19,H32,Y4:Y19)+SUMIF(X4:X19,H32,U4:U19)+SUMIF(T4:T19,H32,Q4:Q19)+SUMIF(P4:P19,H32,M4:M19)+SUMIF(L4:L19,H32,I4:I19)+SUMIF(H4:H19,H32,E4:E19)+SUMIF(D4:D19,H32,A4:A19)</f>
        <v>40</v>
      </c>
      <c r="H32" s="26" t="s">
        <v>549</v>
      </c>
      <c r="I32" s="117">
        <f>SUMIF(AR5:AR18,L32,AO5:AO18)+SUMIF(AN5:AN19,L32,AK5:AK19)+SUMIF(AJ5:AJ19,L32,AG5:AG19)+SUMIF(AF4:AF19,L32,AC4:AC19)+SUMIF(AB4:AB19,L32,Y4:Y19)+SUMIF(X4:X19,L32,U4:U19)+SUMIF(T4:T19,L32,Q4:Q19)+SUMIF(P4:P19,L32,M4:M19)+SUMIF(L4:L19,L32,I4:I19)+SUMIF(H4:H19,L32,E4:E19)+SUMIF(D4:D19,L32,A4:A19)</f>
        <v>36</v>
      </c>
      <c r="L32" s="26" t="s">
        <v>877</v>
      </c>
    </row>
    <row r="33" spans="13:16" ht="23.25" customHeight="1">
      <c r="M33" s="118">
        <f>SUM(E20:P32)</f>
        <v>8466</v>
      </c>
      <c r="P33" s="111">
        <f>D20-M33</f>
        <v>0</v>
      </c>
    </row>
  </sheetData>
  <pageMargins left="0.16" right="0.16" top="0.35" bottom="0.26" header="0.2" footer="0.16"/>
  <pageSetup paperSize="9" scale="62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0"/>
  <sheetViews>
    <sheetView topLeftCell="A34" workbookViewId="0">
      <selection activeCell="V37" sqref="V37"/>
    </sheetView>
  </sheetViews>
  <sheetFormatPr defaultColWidth="16.85546875" defaultRowHeight="21.75" customHeight="1"/>
  <cols>
    <col min="1" max="1" width="5.42578125" style="122" customWidth="1"/>
    <col min="2" max="2" width="17.7109375" style="122" customWidth="1"/>
    <col min="3" max="3" width="4.140625" style="122" bestFit="1" customWidth="1"/>
    <col min="4" max="4" width="4.85546875" style="122" bestFit="1" customWidth="1"/>
    <col min="5" max="5" width="6.140625" style="122" bestFit="1" customWidth="1"/>
    <col min="6" max="6" width="17.7109375" style="122" customWidth="1"/>
    <col min="7" max="7" width="4.140625" style="122" bestFit="1" customWidth="1"/>
    <col min="8" max="8" width="4.85546875" style="122" bestFit="1" customWidth="1"/>
    <col min="9" max="9" width="5.140625" style="122" bestFit="1" customWidth="1"/>
    <col min="10" max="10" width="17.7109375" style="122" customWidth="1"/>
    <col min="11" max="11" width="4.140625" style="122" bestFit="1" customWidth="1"/>
    <col min="12" max="12" width="4.85546875" style="122" bestFit="1" customWidth="1"/>
    <col min="13" max="13" width="6.7109375" style="122" bestFit="1" customWidth="1"/>
    <col min="14" max="14" width="17.7109375" style="122" customWidth="1"/>
    <col min="15" max="15" width="4.140625" style="122" bestFit="1" customWidth="1"/>
    <col min="16" max="16" width="4.85546875" style="122" bestFit="1" customWidth="1"/>
    <col min="17" max="17" width="4.7109375" style="122" bestFit="1" customWidth="1"/>
    <col min="18" max="18" width="17.7109375" style="122" customWidth="1"/>
    <col min="19" max="19" width="3.85546875" style="122" customWidth="1"/>
    <col min="20" max="20" width="4.85546875" style="122" bestFit="1" customWidth="1"/>
    <col min="21" max="21" width="4.140625" style="122" bestFit="1" customWidth="1"/>
    <col min="22" max="22" width="17.7109375" style="122" customWidth="1"/>
    <col min="23" max="23" width="4.140625" style="122" bestFit="1" customWidth="1"/>
    <col min="24" max="24" width="4.85546875" style="122" bestFit="1" customWidth="1"/>
    <col min="25" max="25" width="4.42578125" style="122" bestFit="1" customWidth="1"/>
    <col min="26" max="26" width="6.5703125" style="122" bestFit="1" customWidth="1"/>
    <col min="27" max="27" width="8.42578125" style="122" bestFit="1" customWidth="1"/>
    <col min="28" max="16384" width="16.85546875" style="122"/>
  </cols>
  <sheetData>
    <row r="1" spans="1:26" ht="21.75" customHeight="1">
      <c r="B1" s="123" t="s">
        <v>1302</v>
      </c>
      <c r="C1" s="123" t="s">
        <v>1300</v>
      </c>
      <c r="D1" s="123" t="s">
        <v>1301</v>
      </c>
      <c r="E1" s="123" t="s">
        <v>1299</v>
      </c>
      <c r="F1" s="123" t="s">
        <v>1302</v>
      </c>
      <c r="G1" s="123" t="s">
        <v>1300</v>
      </c>
      <c r="H1" s="123" t="s">
        <v>1301</v>
      </c>
      <c r="I1" s="123" t="s">
        <v>1299</v>
      </c>
      <c r="J1" s="123" t="s">
        <v>1302</v>
      </c>
      <c r="K1" s="123" t="s">
        <v>1300</v>
      </c>
      <c r="L1" s="123" t="s">
        <v>1301</v>
      </c>
      <c r="M1" s="123" t="s">
        <v>1299</v>
      </c>
      <c r="N1" s="123" t="s">
        <v>1302</v>
      </c>
      <c r="O1" s="123" t="s">
        <v>1300</v>
      </c>
      <c r="P1" s="123" t="s">
        <v>1301</v>
      </c>
      <c r="Q1" s="123" t="s">
        <v>1299</v>
      </c>
      <c r="R1" s="123" t="s">
        <v>1302</v>
      </c>
      <c r="S1" s="123" t="s">
        <v>1300</v>
      </c>
      <c r="T1" s="123" t="s">
        <v>1301</v>
      </c>
      <c r="U1" s="123" t="s">
        <v>1299</v>
      </c>
      <c r="V1" s="123" t="s">
        <v>1302</v>
      </c>
      <c r="W1" s="123" t="s">
        <v>1300</v>
      </c>
      <c r="X1" s="123" t="s">
        <v>1301</v>
      </c>
      <c r="Y1" s="123" t="s">
        <v>1299</v>
      </c>
    </row>
    <row r="2" spans="1:26" ht="19.5" customHeight="1">
      <c r="A2" s="124">
        <v>4</v>
      </c>
      <c r="B2" s="125" t="s">
        <v>194</v>
      </c>
      <c r="C2" s="125">
        <v>3</v>
      </c>
      <c r="D2" s="124">
        <v>52</v>
      </c>
      <c r="E2" s="126">
        <f t="shared" ref="E2:E45" si="0">C2*D2</f>
        <v>156</v>
      </c>
      <c r="F2" s="127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W2" s="128"/>
      <c r="X2" s="192" t="s">
        <v>1326</v>
      </c>
      <c r="Y2" s="193"/>
      <c r="Z2" s="129">
        <v>6</v>
      </c>
    </row>
    <row r="3" spans="1:26" ht="19.5" customHeight="1">
      <c r="A3" s="124">
        <v>224</v>
      </c>
      <c r="B3" s="125" t="s">
        <v>194</v>
      </c>
      <c r="C3" s="125">
        <v>3</v>
      </c>
      <c r="D3" s="124">
        <v>30</v>
      </c>
      <c r="E3" s="126">
        <f t="shared" si="0"/>
        <v>90</v>
      </c>
      <c r="F3" s="125" t="s">
        <v>194</v>
      </c>
      <c r="G3" s="125">
        <v>6</v>
      </c>
      <c r="H3" s="124">
        <v>18</v>
      </c>
      <c r="I3" s="124">
        <f t="shared" ref="I3:I8" si="1">G3*H3</f>
        <v>108</v>
      </c>
      <c r="J3" s="124" t="s">
        <v>1325</v>
      </c>
      <c r="K3" s="124">
        <v>3</v>
      </c>
      <c r="L3" s="124">
        <v>13</v>
      </c>
      <c r="M3" s="124">
        <f t="shared" ref="M3:M8" si="2">K3*L3</f>
        <v>39</v>
      </c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>
        <v>100</v>
      </c>
    </row>
    <row r="4" spans="1:26" ht="19.5" customHeight="1">
      <c r="A4" s="129">
        <f>A2*A3</f>
        <v>896</v>
      </c>
      <c r="B4" s="124" t="s">
        <v>1325</v>
      </c>
      <c r="C4" s="124">
        <v>3</v>
      </c>
      <c r="D4" s="124">
        <v>4</v>
      </c>
      <c r="E4" s="126">
        <f t="shared" si="0"/>
        <v>12</v>
      </c>
      <c r="F4" s="125" t="s">
        <v>1099</v>
      </c>
      <c r="G4" s="125">
        <v>3</v>
      </c>
      <c r="H4" s="124">
        <v>25</v>
      </c>
      <c r="I4" s="124">
        <f t="shared" si="1"/>
        <v>75</v>
      </c>
      <c r="J4" s="125" t="s">
        <v>1239</v>
      </c>
      <c r="K4" s="125">
        <v>3</v>
      </c>
      <c r="L4" s="124">
        <v>5</v>
      </c>
      <c r="M4" s="124">
        <f t="shared" si="2"/>
        <v>15</v>
      </c>
      <c r="N4" s="125" t="s">
        <v>634</v>
      </c>
      <c r="O4" s="125">
        <v>4</v>
      </c>
      <c r="P4" s="124">
        <v>9</v>
      </c>
      <c r="Q4" s="124">
        <f t="shared" ref="Q4:Q8" si="3">O4*P4</f>
        <v>36</v>
      </c>
      <c r="R4" s="125" t="s">
        <v>148</v>
      </c>
      <c r="S4" s="125">
        <v>4</v>
      </c>
      <c r="T4" s="124">
        <v>14</v>
      </c>
      <c r="U4" s="124">
        <f>S4*T4</f>
        <v>56</v>
      </c>
      <c r="V4" s="125" t="s">
        <v>603</v>
      </c>
      <c r="W4" s="125">
        <v>6</v>
      </c>
      <c r="X4" s="124">
        <v>7</v>
      </c>
      <c r="Y4" s="124">
        <f>X4*W4</f>
        <v>42</v>
      </c>
      <c r="Z4" s="129">
        <f>Z3*Z2</f>
        <v>600</v>
      </c>
    </row>
    <row r="5" spans="1:26" ht="21.75" customHeight="1">
      <c r="A5" s="194" t="s">
        <v>933</v>
      </c>
      <c r="B5" s="125" t="s">
        <v>935</v>
      </c>
      <c r="C5" s="125">
        <v>5</v>
      </c>
      <c r="D5" s="124">
        <v>30</v>
      </c>
      <c r="E5" s="126">
        <f t="shared" si="0"/>
        <v>150</v>
      </c>
      <c r="F5" s="125" t="s">
        <v>124</v>
      </c>
      <c r="G5" s="125">
        <v>4</v>
      </c>
      <c r="H5" s="124">
        <v>23</v>
      </c>
      <c r="I5" s="124">
        <f t="shared" si="1"/>
        <v>92</v>
      </c>
      <c r="J5" s="125" t="s">
        <v>965</v>
      </c>
      <c r="K5" s="125">
        <v>4</v>
      </c>
      <c r="L5" s="124">
        <v>11</v>
      </c>
      <c r="M5" s="124">
        <f t="shared" si="2"/>
        <v>44</v>
      </c>
      <c r="N5" s="125" t="s">
        <v>1131</v>
      </c>
      <c r="O5" s="125">
        <v>4</v>
      </c>
      <c r="P5" s="124">
        <v>11</v>
      </c>
      <c r="Q5" s="124">
        <f t="shared" si="3"/>
        <v>44</v>
      </c>
      <c r="R5" s="125" t="s">
        <v>911</v>
      </c>
      <c r="S5" s="125">
        <v>4</v>
      </c>
      <c r="T5" s="124">
        <v>22</v>
      </c>
      <c r="U5" s="124">
        <f>S5*T5</f>
        <v>88</v>
      </c>
      <c r="V5" s="125" t="s">
        <v>568</v>
      </c>
      <c r="W5" s="125">
        <v>4</v>
      </c>
      <c r="X5" s="124">
        <v>14</v>
      </c>
      <c r="Y5" s="124">
        <f>X5*W5</f>
        <v>56</v>
      </c>
      <c r="Z5" s="129">
        <v>7</v>
      </c>
    </row>
    <row r="6" spans="1:26" ht="21.75" customHeight="1">
      <c r="A6" s="195"/>
      <c r="B6" s="125" t="s">
        <v>670</v>
      </c>
      <c r="C6" s="125">
        <v>4</v>
      </c>
      <c r="D6" s="124">
        <v>7</v>
      </c>
      <c r="E6" s="126">
        <f t="shared" si="0"/>
        <v>28</v>
      </c>
      <c r="F6" s="125" t="s">
        <v>671</v>
      </c>
      <c r="G6" s="125">
        <v>4</v>
      </c>
      <c r="H6" s="124">
        <v>3</v>
      </c>
      <c r="I6" s="124">
        <f t="shared" si="1"/>
        <v>12</v>
      </c>
      <c r="J6" s="125" t="s">
        <v>1176</v>
      </c>
      <c r="K6" s="125">
        <v>4</v>
      </c>
      <c r="L6" s="124">
        <v>8</v>
      </c>
      <c r="M6" s="124">
        <f>K6*L6</f>
        <v>32</v>
      </c>
      <c r="N6" s="125" t="s">
        <v>694</v>
      </c>
      <c r="O6" s="125">
        <v>3</v>
      </c>
      <c r="P6" s="124">
        <v>4</v>
      </c>
      <c r="Q6" s="124">
        <f>O6*P6</f>
        <v>12</v>
      </c>
      <c r="R6" s="125" t="s">
        <v>697</v>
      </c>
      <c r="S6" s="125">
        <v>3</v>
      </c>
      <c r="T6" s="124">
        <v>4</v>
      </c>
      <c r="U6" s="124">
        <f>S6*T6</f>
        <v>12</v>
      </c>
      <c r="V6" s="125" t="s">
        <v>691</v>
      </c>
      <c r="W6" s="125">
        <v>3</v>
      </c>
      <c r="X6" s="124">
        <v>4</v>
      </c>
      <c r="Y6" s="124">
        <f>X6*W6</f>
        <v>12</v>
      </c>
      <c r="Z6" s="129">
        <v>30</v>
      </c>
    </row>
    <row r="7" spans="1:26" ht="21.75" customHeight="1">
      <c r="A7" s="195"/>
      <c r="B7" s="125" t="s">
        <v>455</v>
      </c>
      <c r="C7" s="125">
        <v>4</v>
      </c>
      <c r="D7" s="124">
        <v>8</v>
      </c>
      <c r="E7" s="126">
        <f t="shared" si="0"/>
        <v>32</v>
      </c>
      <c r="F7" s="125" t="s">
        <v>707</v>
      </c>
      <c r="G7" s="125">
        <v>4</v>
      </c>
      <c r="H7" s="124">
        <v>42</v>
      </c>
      <c r="I7" s="124">
        <f t="shared" si="1"/>
        <v>168</v>
      </c>
      <c r="J7" s="125" t="s">
        <v>134</v>
      </c>
      <c r="K7" s="125">
        <v>7</v>
      </c>
      <c r="L7" s="124">
        <v>10</v>
      </c>
      <c r="M7" s="124">
        <f>K7*L7</f>
        <v>70</v>
      </c>
      <c r="N7" s="125" t="s">
        <v>826</v>
      </c>
      <c r="O7" s="125">
        <v>7</v>
      </c>
      <c r="P7" s="124">
        <v>12</v>
      </c>
      <c r="Q7" s="124">
        <f>O7*P7</f>
        <v>84</v>
      </c>
      <c r="V7" s="128"/>
      <c r="W7" s="128"/>
      <c r="X7" s="128"/>
      <c r="Y7" s="128"/>
      <c r="Z7" s="122">
        <f>Z5*Z6</f>
        <v>210</v>
      </c>
    </row>
    <row r="8" spans="1:26" ht="21.75" customHeight="1">
      <c r="A8" s="195"/>
      <c r="B8" s="125" t="s">
        <v>705</v>
      </c>
      <c r="C8" s="125">
        <v>4</v>
      </c>
      <c r="D8" s="124">
        <v>31</v>
      </c>
      <c r="E8" s="126">
        <f t="shared" si="0"/>
        <v>124</v>
      </c>
      <c r="F8" s="125" t="s">
        <v>698</v>
      </c>
      <c r="G8" s="125">
        <v>4</v>
      </c>
      <c r="H8" s="124">
        <v>43</v>
      </c>
      <c r="I8" s="124">
        <f t="shared" si="1"/>
        <v>172</v>
      </c>
      <c r="J8" s="125" t="s">
        <v>702</v>
      </c>
      <c r="K8" s="125">
        <v>4</v>
      </c>
      <c r="L8" s="124">
        <v>5</v>
      </c>
      <c r="M8" s="124">
        <f t="shared" si="2"/>
        <v>20</v>
      </c>
      <c r="N8" s="125" t="s">
        <v>704</v>
      </c>
      <c r="O8" s="125">
        <v>4</v>
      </c>
      <c r="P8" s="124">
        <v>6</v>
      </c>
      <c r="Q8" s="124">
        <f t="shared" si="3"/>
        <v>24</v>
      </c>
      <c r="R8" s="125" t="s">
        <v>847</v>
      </c>
      <c r="S8" s="125">
        <v>6</v>
      </c>
      <c r="T8" s="124">
        <v>21</v>
      </c>
      <c r="U8" s="124">
        <f>S8*T8</f>
        <v>126</v>
      </c>
      <c r="V8" s="125" t="s">
        <v>851</v>
      </c>
      <c r="W8" s="125">
        <v>7</v>
      </c>
      <c r="X8" s="124">
        <v>3</v>
      </c>
      <c r="Y8" s="126">
        <f>W8*X8</f>
        <v>21</v>
      </c>
      <c r="Z8" s="165"/>
    </row>
    <row r="9" spans="1:26" ht="21.75" customHeight="1">
      <c r="A9" s="195"/>
      <c r="B9" s="125" t="s">
        <v>240</v>
      </c>
      <c r="C9" s="125">
        <v>3</v>
      </c>
      <c r="D9" s="124">
        <v>13</v>
      </c>
      <c r="E9" s="124">
        <f t="shared" ref="E9" si="4">C9*D9</f>
        <v>39</v>
      </c>
      <c r="R9" s="125" t="s">
        <v>1129</v>
      </c>
      <c r="S9" s="125">
        <v>5</v>
      </c>
      <c r="T9" s="124">
        <v>19</v>
      </c>
      <c r="U9" s="124">
        <f>S9*T9</f>
        <v>95</v>
      </c>
      <c r="V9" s="125" t="s">
        <v>874</v>
      </c>
      <c r="W9" s="125">
        <v>4</v>
      </c>
      <c r="X9" s="124">
        <v>7</v>
      </c>
      <c r="Y9" s="126">
        <f>X9*W9</f>
        <v>28</v>
      </c>
      <c r="Z9" s="165"/>
    </row>
    <row r="10" spans="1:26" ht="21.75" customHeight="1">
      <c r="A10" s="195"/>
      <c r="B10" s="125" t="s">
        <v>487</v>
      </c>
      <c r="C10" s="125">
        <v>6</v>
      </c>
      <c r="D10" s="124">
        <v>52</v>
      </c>
      <c r="E10" s="124">
        <f>C10*D10</f>
        <v>312</v>
      </c>
      <c r="F10" s="125" t="s">
        <v>205</v>
      </c>
      <c r="G10" s="125">
        <v>6</v>
      </c>
      <c r="H10" s="124">
        <v>7</v>
      </c>
      <c r="I10" s="124">
        <f>G10*H10</f>
        <v>42</v>
      </c>
      <c r="J10" s="125" t="s">
        <v>206</v>
      </c>
      <c r="K10" s="131">
        <v>6</v>
      </c>
      <c r="L10" s="124">
        <v>11</v>
      </c>
      <c r="M10" s="124">
        <f>K10*L10</f>
        <v>66</v>
      </c>
      <c r="N10" s="125" t="s">
        <v>208</v>
      </c>
      <c r="O10" s="124">
        <v>6</v>
      </c>
      <c r="P10" s="124">
        <v>11</v>
      </c>
      <c r="Q10" s="124">
        <f>O10*P10</f>
        <v>66</v>
      </c>
      <c r="R10" s="125" t="s">
        <v>265</v>
      </c>
      <c r="S10" s="125">
        <v>4</v>
      </c>
      <c r="T10" s="124">
        <v>6</v>
      </c>
      <c r="U10" s="124">
        <f>S10*T10</f>
        <v>24</v>
      </c>
      <c r="V10" s="125" t="s">
        <v>263</v>
      </c>
      <c r="W10" s="125">
        <v>4</v>
      </c>
      <c r="X10" s="124">
        <v>2</v>
      </c>
      <c r="Y10" s="124">
        <f>W10*X10</f>
        <v>8</v>
      </c>
      <c r="Z10" s="165"/>
    </row>
    <row r="11" spans="1:26" ht="18" customHeight="1">
      <c r="A11" s="195"/>
      <c r="B11" s="125" t="s">
        <v>390</v>
      </c>
      <c r="C11" s="125">
        <v>5</v>
      </c>
      <c r="D11" s="124">
        <v>14</v>
      </c>
      <c r="E11" s="126">
        <f>C11*D11</f>
        <v>70</v>
      </c>
      <c r="F11" s="125" t="s">
        <v>391</v>
      </c>
      <c r="G11" s="125">
        <v>5</v>
      </c>
      <c r="H11" s="124">
        <v>6</v>
      </c>
      <c r="I11" s="124">
        <f>G11*H11</f>
        <v>30</v>
      </c>
      <c r="J11" s="125" t="s">
        <v>604</v>
      </c>
      <c r="K11" s="125">
        <v>4</v>
      </c>
      <c r="L11" s="124">
        <v>9</v>
      </c>
      <c r="M11" s="124">
        <f>K11*L11</f>
        <v>36</v>
      </c>
      <c r="N11" s="125" t="s">
        <v>604</v>
      </c>
      <c r="O11" s="125">
        <v>4</v>
      </c>
      <c r="P11" s="124">
        <v>20</v>
      </c>
      <c r="Q11" s="124">
        <f>O11*P11</f>
        <v>80</v>
      </c>
      <c r="R11" s="125" t="s">
        <v>604</v>
      </c>
      <c r="S11" s="125">
        <v>4</v>
      </c>
      <c r="T11" s="124">
        <v>22</v>
      </c>
      <c r="U11" s="124">
        <f>S11*T11</f>
        <v>88</v>
      </c>
      <c r="V11" s="125" t="s">
        <v>294</v>
      </c>
      <c r="W11" s="125">
        <v>3</v>
      </c>
      <c r="X11" s="124">
        <v>25</v>
      </c>
      <c r="Y11" s="124">
        <f>W11*X11</f>
        <v>75</v>
      </c>
      <c r="Z11" s="165"/>
    </row>
    <row r="12" spans="1:26" ht="21.75" customHeight="1">
      <c r="A12" s="195"/>
      <c r="B12" s="125" t="s">
        <v>752</v>
      </c>
      <c r="C12" s="125">
        <v>5</v>
      </c>
      <c r="D12" s="124">
        <v>50</v>
      </c>
      <c r="E12" s="124">
        <f t="shared" ref="E12" si="5">C12*D12</f>
        <v>250</v>
      </c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65"/>
    </row>
    <row r="13" spans="1:26" ht="21.75" customHeight="1">
      <c r="A13" s="195"/>
      <c r="B13" s="125" t="s">
        <v>752</v>
      </c>
      <c r="C13" s="125">
        <v>5</v>
      </c>
      <c r="D13" s="124">
        <v>98</v>
      </c>
      <c r="E13" s="124">
        <f t="shared" si="0"/>
        <v>490</v>
      </c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65"/>
    </row>
    <row r="14" spans="1:26" ht="21.75" customHeight="1">
      <c r="A14" s="195"/>
      <c r="B14" s="125" t="s">
        <v>752</v>
      </c>
      <c r="C14" s="125">
        <v>5</v>
      </c>
      <c r="D14" s="124">
        <v>90</v>
      </c>
      <c r="E14" s="124">
        <f t="shared" si="0"/>
        <v>450</v>
      </c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65"/>
    </row>
    <row r="15" spans="1:26" ht="18" customHeight="1">
      <c r="A15" s="195"/>
      <c r="B15" s="125" t="s">
        <v>582</v>
      </c>
      <c r="C15" s="125">
        <v>6</v>
      </c>
      <c r="D15" s="124">
        <v>105</v>
      </c>
      <c r="E15" s="124">
        <f t="shared" si="0"/>
        <v>630</v>
      </c>
      <c r="F15" s="128"/>
      <c r="G15" s="128"/>
      <c r="H15" s="128"/>
      <c r="I15" s="128"/>
      <c r="K15" s="128"/>
      <c r="L15" s="128"/>
      <c r="M15" s="128"/>
      <c r="R15" s="128"/>
      <c r="S15" s="128"/>
      <c r="T15" s="128"/>
      <c r="U15" s="128"/>
      <c r="V15" s="128"/>
      <c r="W15" s="128"/>
      <c r="X15" s="128"/>
      <c r="Y15" s="128"/>
      <c r="Z15" s="165"/>
    </row>
    <row r="16" spans="1:26" ht="18" customHeight="1">
      <c r="A16" s="195"/>
      <c r="B16" s="125" t="s">
        <v>582</v>
      </c>
      <c r="C16" s="125">
        <v>5</v>
      </c>
      <c r="D16" s="124">
        <v>100</v>
      </c>
      <c r="E16" s="124">
        <f t="shared" si="0"/>
        <v>500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65"/>
    </row>
    <row r="17" spans="1:26" ht="18" customHeight="1">
      <c r="A17" s="195"/>
      <c r="B17" s="125" t="s">
        <v>582</v>
      </c>
      <c r="C17" s="125">
        <v>7</v>
      </c>
      <c r="D17" s="124">
        <v>125</v>
      </c>
      <c r="E17" s="124">
        <f t="shared" si="0"/>
        <v>875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65"/>
    </row>
    <row r="18" spans="1:26" ht="18" customHeight="1">
      <c r="A18" s="195"/>
      <c r="B18" s="125" t="s">
        <v>582</v>
      </c>
      <c r="C18" s="125">
        <v>7</v>
      </c>
      <c r="D18" s="124">
        <v>125</v>
      </c>
      <c r="E18" s="124">
        <f t="shared" si="0"/>
        <v>875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65"/>
    </row>
    <row r="19" spans="1:26" ht="18" customHeight="1">
      <c r="A19" s="195"/>
      <c r="B19" s="125" t="s">
        <v>582</v>
      </c>
      <c r="C19" s="125">
        <v>7</v>
      </c>
      <c r="D19" s="124">
        <v>105</v>
      </c>
      <c r="E19" s="124">
        <f t="shared" si="0"/>
        <v>735</v>
      </c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65"/>
    </row>
    <row r="20" spans="1:26" ht="18" customHeight="1">
      <c r="A20" s="195"/>
      <c r="B20" s="125" t="s">
        <v>582</v>
      </c>
      <c r="C20" s="125">
        <v>7</v>
      </c>
      <c r="D20" s="124">
        <v>50</v>
      </c>
      <c r="E20" s="124">
        <f t="shared" si="0"/>
        <v>350</v>
      </c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65"/>
    </row>
    <row r="21" spans="1:26" ht="19.5" customHeight="1">
      <c r="A21" s="195"/>
      <c r="B21" s="26" t="s">
        <v>408</v>
      </c>
      <c r="C21" s="26">
        <v>7</v>
      </c>
      <c r="D21" s="26">
        <v>120</v>
      </c>
      <c r="E21" s="124">
        <f t="shared" si="0"/>
        <v>840</v>
      </c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65"/>
    </row>
    <row r="22" spans="1:26" ht="19.5" customHeight="1">
      <c r="A22" s="195"/>
      <c r="B22" s="26" t="s">
        <v>408</v>
      </c>
      <c r="C22" s="26">
        <v>6</v>
      </c>
      <c r="D22" s="26">
        <v>40</v>
      </c>
      <c r="E22" s="124">
        <f t="shared" si="0"/>
        <v>240</v>
      </c>
      <c r="F22" s="132" t="s">
        <v>296</v>
      </c>
      <c r="G22" s="26">
        <v>7</v>
      </c>
      <c r="H22" s="26">
        <v>72</v>
      </c>
      <c r="I22" s="124">
        <f t="shared" ref="I22" si="6">G22*H22</f>
        <v>504</v>
      </c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65"/>
    </row>
    <row r="23" spans="1:26" ht="21.75" customHeight="1">
      <c r="A23" s="195"/>
      <c r="B23" s="132" t="s">
        <v>296</v>
      </c>
      <c r="C23" s="26">
        <v>7</v>
      </c>
      <c r="D23" s="26">
        <v>122</v>
      </c>
      <c r="E23" s="124">
        <f t="shared" si="0"/>
        <v>854</v>
      </c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65"/>
    </row>
    <row r="24" spans="1:26" ht="21.75" customHeight="1">
      <c r="A24" s="195"/>
      <c r="B24" s="132" t="s">
        <v>296</v>
      </c>
      <c r="C24" s="26">
        <v>7</v>
      </c>
      <c r="D24" s="26">
        <v>122</v>
      </c>
      <c r="E24" s="124">
        <f t="shared" si="0"/>
        <v>854</v>
      </c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65"/>
    </row>
    <row r="25" spans="1:26" ht="21.75" customHeight="1">
      <c r="A25" s="195"/>
      <c r="B25" s="125" t="s">
        <v>753</v>
      </c>
      <c r="C25" s="125">
        <v>7</v>
      </c>
      <c r="D25" s="124">
        <v>109</v>
      </c>
      <c r="E25" s="126">
        <f t="shared" si="0"/>
        <v>763</v>
      </c>
      <c r="F25" s="127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65"/>
    </row>
    <row r="26" spans="1:26" ht="21.75" customHeight="1">
      <c r="A26" s="195"/>
      <c r="B26" s="125" t="s">
        <v>753</v>
      </c>
      <c r="C26" s="125">
        <v>7</v>
      </c>
      <c r="D26" s="124">
        <v>109</v>
      </c>
      <c r="E26" s="126">
        <f t="shared" si="0"/>
        <v>763</v>
      </c>
      <c r="F26" s="127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65"/>
    </row>
    <row r="27" spans="1:26" ht="21.75" customHeight="1">
      <c r="A27" s="195"/>
      <c r="B27" s="125" t="s">
        <v>753</v>
      </c>
      <c r="C27" s="125">
        <v>6</v>
      </c>
      <c r="D27" s="124">
        <v>106</v>
      </c>
      <c r="E27" s="126">
        <f t="shared" ref="E27" si="7">C27*D27</f>
        <v>636</v>
      </c>
      <c r="F27" s="127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65"/>
    </row>
    <row r="28" spans="1:26" ht="21.75" customHeight="1">
      <c r="A28" s="195"/>
      <c r="B28" s="125" t="s">
        <v>753</v>
      </c>
      <c r="C28" s="125">
        <v>6</v>
      </c>
      <c r="D28" s="124">
        <v>106</v>
      </c>
      <c r="E28" s="126">
        <f t="shared" si="0"/>
        <v>636</v>
      </c>
      <c r="F28" s="127"/>
      <c r="G28" s="128"/>
      <c r="H28" s="128"/>
      <c r="I28" s="128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65"/>
    </row>
    <row r="29" spans="1:26" ht="21.75" customHeight="1">
      <c r="A29" s="195"/>
      <c r="B29" s="125" t="s">
        <v>753</v>
      </c>
      <c r="C29" s="125">
        <v>6</v>
      </c>
      <c r="D29" s="124">
        <v>95</v>
      </c>
      <c r="E29" s="126">
        <f t="shared" si="0"/>
        <v>570</v>
      </c>
      <c r="F29" s="133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65"/>
    </row>
    <row r="30" spans="1:26" ht="21.75" customHeight="1">
      <c r="A30" s="195"/>
      <c r="B30" s="125" t="s">
        <v>753</v>
      </c>
      <c r="C30" s="125">
        <v>6</v>
      </c>
      <c r="D30" s="124">
        <v>30</v>
      </c>
      <c r="E30" s="126">
        <f t="shared" si="0"/>
        <v>180</v>
      </c>
      <c r="F30" s="125" t="s">
        <v>582</v>
      </c>
      <c r="G30" s="125">
        <v>7</v>
      </c>
      <c r="H30" s="124">
        <v>75</v>
      </c>
      <c r="I30" s="124">
        <f>G30*H30</f>
        <v>525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65"/>
    </row>
    <row r="31" spans="1:26" ht="21.75" customHeight="1">
      <c r="A31" s="195"/>
      <c r="B31" s="125" t="s">
        <v>753</v>
      </c>
      <c r="C31" s="125">
        <v>6</v>
      </c>
      <c r="D31" s="124">
        <v>106</v>
      </c>
      <c r="E31" s="126">
        <f t="shared" ref="E31" si="8">C31*D31</f>
        <v>636</v>
      </c>
      <c r="F31" s="157"/>
      <c r="G31" s="158"/>
      <c r="H31" s="128"/>
      <c r="I31" s="128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65"/>
    </row>
    <row r="32" spans="1:26" ht="21.75" customHeight="1">
      <c r="A32" s="195"/>
      <c r="B32" s="125" t="s">
        <v>753</v>
      </c>
      <c r="C32" s="125">
        <v>8</v>
      </c>
      <c r="D32" s="124">
        <v>30</v>
      </c>
      <c r="E32" s="126">
        <f t="shared" ref="E32" si="9">C32*D32</f>
        <v>240</v>
      </c>
      <c r="F32" s="125" t="s">
        <v>582</v>
      </c>
      <c r="G32" s="125">
        <v>8</v>
      </c>
      <c r="H32" s="124">
        <v>75</v>
      </c>
      <c r="I32" s="124">
        <f>G32*H32</f>
        <v>600</v>
      </c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65"/>
    </row>
    <row r="33" spans="1:26" ht="21.75" customHeight="1">
      <c r="A33" s="195"/>
      <c r="B33" s="125" t="s">
        <v>723</v>
      </c>
      <c r="C33" s="125">
        <v>6</v>
      </c>
      <c r="D33" s="124">
        <v>50</v>
      </c>
      <c r="E33" s="126">
        <f t="shared" si="0"/>
        <v>300</v>
      </c>
      <c r="F33" s="22" t="s">
        <v>1072</v>
      </c>
      <c r="G33" s="125">
        <v>6</v>
      </c>
      <c r="H33" s="124">
        <v>29</v>
      </c>
      <c r="I33" s="124">
        <f>G33*H33</f>
        <v>174</v>
      </c>
      <c r="J33" s="125" t="s">
        <v>1330</v>
      </c>
      <c r="K33" s="125">
        <v>7</v>
      </c>
      <c r="L33" s="124">
        <v>10</v>
      </c>
      <c r="M33" s="124">
        <f>K33*L33</f>
        <v>70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65"/>
    </row>
    <row r="34" spans="1:26" ht="21.75" customHeight="1">
      <c r="A34" s="195"/>
      <c r="B34" s="125" t="s">
        <v>753</v>
      </c>
      <c r="C34" s="125">
        <v>5</v>
      </c>
      <c r="D34" s="124">
        <v>90</v>
      </c>
      <c r="E34" s="126">
        <f t="shared" si="0"/>
        <v>450</v>
      </c>
      <c r="F34" s="133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65"/>
    </row>
    <row r="35" spans="1:26" ht="18" customHeight="1">
      <c r="A35" s="195"/>
      <c r="B35" s="125" t="s">
        <v>1327</v>
      </c>
      <c r="C35" s="125">
        <v>6</v>
      </c>
      <c r="D35" s="124">
        <v>70</v>
      </c>
      <c r="E35" s="124">
        <f>C35*D35</f>
        <v>420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65"/>
    </row>
    <row r="36" spans="1:26" ht="18" customHeight="1">
      <c r="A36" s="195"/>
      <c r="B36" s="125" t="s">
        <v>1327</v>
      </c>
      <c r="C36" s="125">
        <v>6</v>
      </c>
      <c r="D36" s="124">
        <v>100</v>
      </c>
      <c r="E36" s="126">
        <f t="shared" si="0"/>
        <v>600</v>
      </c>
      <c r="F36" s="133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65"/>
    </row>
    <row r="37" spans="1:26" ht="24" customHeight="1">
      <c r="A37" s="195"/>
      <c r="B37" s="125" t="s">
        <v>1328</v>
      </c>
      <c r="C37" s="125">
        <v>8</v>
      </c>
      <c r="D37" s="124">
        <v>92</v>
      </c>
      <c r="E37" s="126">
        <f t="shared" si="0"/>
        <v>736</v>
      </c>
      <c r="F37" s="125" t="s">
        <v>753</v>
      </c>
      <c r="G37" s="125">
        <v>7</v>
      </c>
      <c r="H37" s="124">
        <v>18</v>
      </c>
      <c r="I37" s="124">
        <f t="shared" ref="I37" si="10">G37*H37</f>
        <v>126</v>
      </c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65"/>
    </row>
    <row r="38" spans="1:26" ht="21.75" customHeight="1">
      <c r="A38" s="195"/>
      <c r="B38" s="125" t="s">
        <v>753</v>
      </c>
      <c r="C38" s="125">
        <v>6</v>
      </c>
      <c r="D38" s="124">
        <v>70</v>
      </c>
      <c r="E38" s="126">
        <f t="shared" ref="E38" si="11">C38*D38</f>
        <v>420</v>
      </c>
      <c r="F38" s="125" t="s">
        <v>1329</v>
      </c>
      <c r="G38" s="125">
        <v>5</v>
      </c>
      <c r="H38" s="124">
        <v>20</v>
      </c>
      <c r="I38" s="124">
        <f>G38*H38</f>
        <v>100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65"/>
    </row>
    <row r="39" spans="1:26" ht="21.75" customHeight="1">
      <c r="A39" s="195"/>
      <c r="B39" s="125" t="s">
        <v>1331</v>
      </c>
      <c r="C39" s="125">
        <v>8</v>
      </c>
      <c r="D39" s="124">
        <v>92</v>
      </c>
      <c r="E39" s="126">
        <f t="shared" si="0"/>
        <v>736</v>
      </c>
      <c r="F39" s="125" t="s">
        <v>1329</v>
      </c>
      <c r="G39" s="125">
        <v>7</v>
      </c>
      <c r="H39" s="124">
        <v>32</v>
      </c>
      <c r="I39" s="124">
        <f>G39*H39</f>
        <v>224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65"/>
    </row>
    <row r="40" spans="1:26" ht="21.75" customHeight="1">
      <c r="A40" s="195"/>
      <c r="B40" s="125" t="s">
        <v>753</v>
      </c>
      <c r="C40" s="125">
        <v>6</v>
      </c>
      <c r="D40" s="124">
        <v>100</v>
      </c>
      <c r="E40" s="126">
        <f t="shared" ref="E40" si="12">C40*D40</f>
        <v>600</v>
      </c>
      <c r="F40" s="133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65"/>
    </row>
    <row r="41" spans="1:26" ht="21.75" customHeight="1">
      <c r="A41" s="195"/>
      <c r="B41" s="125" t="s">
        <v>753</v>
      </c>
      <c r="C41" s="125">
        <v>6</v>
      </c>
      <c r="D41" s="124">
        <v>100</v>
      </c>
      <c r="E41" s="126">
        <f t="shared" si="0"/>
        <v>600</v>
      </c>
      <c r="F41" s="133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65"/>
    </row>
    <row r="42" spans="1:26" ht="21.75" customHeight="1">
      <c r="A42" s="195"/>
      <c r="B42" s="125" t="s">
        <v>753</v>
      </c>
      <c r="C42" s="125">
        <v>8</v>
      </c>
      <c r="D42" s="124">
        <v>105</v>
      </c>
      <c r="E42" s="126">
        <f t="shared" si="0"/>
        <v>840</v>
      </c>
      <c r="F42" s="133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65"/>
    </row>
    <row r="43" spans="1:26" ht="21.75" customHeight="1">
      <c r="A43" s="196"/>
      <c r="B43" s="125" t="s">
        <v>753</v>
      </c>
      <c r="C43" s="125">
        <v>6</v>
      </c>
      <c r="D43" s="124">
        <v>100</v>
      </c>
      <c r="E43" s="124">
        <f t="shared" ref="E43" si="13">C43*D43</f>
        <v>600</v>
      </c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65"/>
    </row>
    <row r="44" spans="1:26" ht="21.75" customHeight="1">
      <c r="A44" s="171"/>
      <c r="B44" s="125" t="s">
        <v>753</v>
      </c>
      <c r="C44" s="125">
        <v>6</v>
      </c>
      <c r="D44" s="124">
        <v>60</v>
      </c>
      <c r="E44" s="126">
        <f t="shared" ref="E44" si="14">C44*D44</f>
        <v>360</v>
      </c>
      <c r="F44" s="125" t="s">
        <v>753</v>
      </c>
      <c r="G44" s="125">
        <v>6</v>
      </c>
      <c r="H44" s="124">
        <v>39</v>
      </c>
      <c r="I44" s="124">
        <f t="shared" ref="I44" si="15">G44*H44</f>
        <v>234</v>
      </c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65"/>
    </row>
    <row r="45" spans="1:26" ht="21.75" customHeight="1">
      <c r="A45" s="167"/>
      <c r="B45" s="125" t="s">
        <v>753</v>
      </c>
      <c r="C45" s="125">
        <v>6</v>
      </c>
      <c r="D45" s="124">
        <v>70</v>
      </c>
      <c r="E45" s="124">
        <f t="shared" si="0"/>
        <v>420</v>
      </c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26" t="s">
        <v>1303</v>
      </c>
      <c r="W45" s="130"/>
      <c r="X45" s="130"/>
      <c r="Y45" s="130">
        <v>4500</v>
      </c>
      <c r="Z45" s="165"/>
    </row>
    <row r="46" spans="1:26" ht="21.75" customHeight="1">
      <c r="A46" s="131">
        <f>A4</f>
        <v>896</v>
      </c>
      <c r="B46" s="134">
        <f>SUM(E46:Z46)+A46</f>
        <v>31323</v>
      </c>
      <c r="E46" s="131">
        <f>SUM(E2:E45)</f>
        <v>20462</v>
      </c>
      <c r="F46" s="135"/>
      <c r="G46" s="130"/>
      <c r="H46" s="130"/>
      <c r="I46" s="131">
        <f>SUM(I2:I44)</f>
        <v>3186</v>
      </c>
      <c r="J46" s="135"/>
      <c r="K46" s="130"/>
      <c r="L46" s="130"/>
      <c r="M46" s="131">
        <f>SUM(M2:M45)</f>
        <v>392</v>
      </c>
      <c r="O46" s="130"/>
      <c r="P46" s="130"/>
      <c r="Q46" s="131">
        <f>SUM(Q2:Q45)</f>
        <v>346</v>
      </c>
      <c r="R46" s="135"/>
      <c r="S46" s="130"/>
      <c r="T46" s="130"/>
      <c r="U46" s="131">
        <f>SUM(U2:U45)</f>
        <v>489</v>
      </c>
      <c r="V46" s="135"/>
      <c r="W46" s="130"/>
      <c r="X46" s="130"/>
      <c r="Y46" s="131">
        <f>SUM(Y2:Y45)</f>
        <v>4742</v>
      </c>
      <c r="Z46" s="131">
        <f>Z7+Z4</f>
        <v>810</v>
      </c>
    </row>
    <row r="48" spans="1:26" ht="21.75" customHeight="1">
      <c r="E48" s="136">
        <f>SUMIF(B2:B45,F48,E2:E45)+SUMIF(F2:F44,F48,I2:I44)+SUMIF(J2:J45,F48,M2:M45)+SUMIF(N2:N45,F48,Q2:Q45)+SUMIF(R2:R45,F48,U2:U45)+SUMIF(V2:V45,F48,Y2:Y45)</f>
        <v>2212</v>
      </c>
      <c r="F48" s="26" t="s">
        <v>296</v>
      </c>
    </row>
    <row r="49" spans="5:18" ht="21.75" customHeight="1">
      <c r="E49" s="136">
        <f>SUMIF(B2:B45,F49,E2:E45)+SUMIF(F2:F44,F49,I2:I44)+SUMIF(J2:J45,F49,M2:M45)+SUMIF(N2:N45,F49,Q2:Q45)+SUMIF(R2:R45,F49,U2:U45)+SUMIF(V2:V45,F49,Y2:Y45)</f>
        <v>92</v>
      </c>
      <c r="F49" s="125" t="s">
        <v>124</v>
      </c>
      <c r="I49" s="136">
        <f>SUMIF(B2:B45,J49,E2:E45)+SUMIF(F2:F44,J49,I2:I44)+SUMIF(J2:J45,J49,M2:M45)+SUMIF(N2:N45,J49,Q2:Q45)+SUMIF(R2:R45,J49,U2:U45)+SUMIF(V2:V45,J49,Y2:Y45)</f>
        <v>70</v>
      </c>
      <c r="J49" s="125" t="s">
        <v>1330</v>
      </c>
      <c r="M49" s="136">
        <f>SUMIF(B2:B45,N49,E2:E45)+SUMIF(F2:F44,N49,I2:I44)+SUMIF(J2:J45,N49,M2:M45)+SUMIF(N2:N45,N49,Q2:Q45)+SUMIF(R2:R45,N49,U2:U45)+SUMIF(V2:V45,N49,Y2:Y45)</f>
        <v>168</v>
      </c>
      <c r="N49" s="125" t="s">
        <v>707</v>
      </c>
      <c r="Q49" s="136">
        <f>SUMIF(B2:B45,R49,E2:E45)+SUMIF(F2:F44,R49,I2:I44)+SUMIF(J2:J45,R49,M2:M45)+SUMIF(N2:N45,R49,Q2:Q45)+SUMIF(R2:R45,R49,U2:U45)+SUMIF(V2:V45,R49,Y2:Y45)</f>
        <v>736</v>
      </c>
      <c r="R49" s="125" t="s">
        <v>1328</v>
      </c>
    </row>
    <row r="50" spans="5:18" ht="21.75" customHeight="1">
      <c r="E50" s="136">
        <f>SUMIF(B2:B45,F50,E2:E45)+SUMIF(F2:F44,F50,I2:I44)+SUMIF(J2:J45,F50,M2:M45)+SUMIF(N2:N45,F50,Q2:Q45)+SUMIF(R2:R45,F50,U2:U45)+SUMIF(V2:V45,F50,Y2:Y45)</f>
        <v>70</v>
      </c>
      <c r="F50" s="125" t="s">
        <v>134</v>
      </c>
      <c r="I50" s="136">
        <f>SUMIF(B2:B45,J50,E2:E45)+SUMIF(F2:F44,J50,I2:I44)+SUMIF(J2:J45,J50,M2:M45)+SUMIF(N2:N45,J50,Q2:Q45)+SUMIF(R2:R45,J50,U2:U45)+SUMIF(V2:V45,J50,Y2:Y45)</f>
        <v>312</v>
      </c>
      <c r="J50" s="125" t="s">
        <v>487</v>
      </c>
      <c r="M50" s="136">
        <f>SUMIF(B2:B45,N50,E2:E45)+SUMIF(F2:F44,N50,I2:I44)+SUMIF(J2:J45,N50,M2:M45)+SUMIF(N2:N45,N50,Q2:Q45)+SUMIF(R2:R45,N50,U2:U45)+SUMIF(V2:V45,N50,Y2:Y45)</f>
        <v>172</v>
      </c>
      <c r="N50" s="125" t="s">
        <v>698</v>
      </c>
      <c r="Q50" s="136">
        <f>SUMIF(B2:B45,R50,E2:E45)+SUMIF(F2:F44,R50,I2:I44)+SUMIF(J2:J45,R50,M2:M45)+SUMIF(N2:N45,R50,Q2:Q45)+SUMIF(R2:R45,R50,U2:U45)+SUMIF(V2:V45,R50,Y2:Y45)</f>
        <v>32</v>
      </c>
      <c r="R50" s="125" t="s">
        <v>1176</v>
      </c>
    </row>
    <row r="51" spans="5:18" ht="21.75" customHeight="1">
      <c r="E51" s="136">
        <f>SUMIF(B2:B45,F51,E2:E45)+SUMIF(F2:F44,F51,I2:I44)+SUMIF(J2:J45,F51,M2:M45)+SUMIF(N2:N45,F51,Q2:Q45)+SUMIF(R2:R45,F51,U2:U45)+SUMIF(V2:V45,F51,Y2:Y45)</f>
        <v>56</v>
      </c>
      <c r="F51" s="125" t="s">
        <v>148</v>
      </c>
      <c r="I51" s="136">
        <f>SUMIF(B2:B45,J51,E2:E45)+SUMIF(F2:F44,J51,I2:I44)+SUMIF(J2:J45,J51,M2:M45)+SUMIF(N2:N45,J51,Q2:Q45)+SUMIF(R2:R45,J51,U2:U45)+SUMIF(V2:V45,J51,Y2:Y45)</f>
        <v>0</v>
      </c>
      <c r="J51" s="125" t="s">
        <v>517</v>
      </c>
      <c r="M51" s="136">
        <f>SUMIF(B2:B45,N51,E2:E45)+SUMIF(F2:F44,N51,I2:I44)+SUMIF(J2:J45,N51,M2:M45)+SUMIF(N2:N45,N51,Q2:Q45)+SUMIF(R2:R45,N51,U2:U45)+SUMIF(V2:V45,N51,Y2:Y45)</f>
        <v>124</v>
      </c>
      <c r="N51" s="125" t="s">
        <v>705</v>
      </c>
      <c r="Q51" s="136">
        <f>SUMIF(B2:B45,R51,E2:E45)+SUMIF(F2:F44,R51,I2:I44)+SUMIF(J2:J45,R51,M2:M45)+SUMIF(N2:N45,R51,Q2:Q45)+SUMIF(R2:R45,R51,U2:U45)+SUMIF(V2:V45,R51,Y2:Y45)</f>
        <v>736</v>
      </c>
      <c r="R51" s="125" t="s">
        <v>1331</v>
      </c>
    </row>
    <row r="52" spans="5:18" ht="21.75" customHeight="1">
      <c r="E52" s="136">
        <f>SUMIF(B2:B45,F52,E2:E45)+SUMIF(F2:F44,F52,I2:I44)+SUMIF(J2:J45,F52,M2:M45)+SUMIF(N2:N45,F52,Q2:Q45)+SUMIF(R2:R45,F52,U2:U45)+SUMIF(V2:V45,F52,Y2:Y45)</f>
        <v>51</v>
      </c>
      <c r="F52" s="124" t="s">
        <v>1325</v>
      </c>
      <c r="I52" s="136">
        <f>SUMIF(B2:B45,J52,E2:E45)+SUMIF(F2:F44,J52,I2:I44)+SUMIF(J2:J45,J52,M2:M45)+SUMIF(N2:N45,J52,Q2:Q45)+SUMIF(R2:R45,J52,U2:U45)+SUMIF(V2:V45,J52,Y2:Y45)</f>
        <v>0</v>
      </c>
      <c r="J52" s="125" t="s">
        <v>563</v>
      </c>
      <c r="M52" s="136">
        <f>SUMIF(B2:B45,N52,E2:E45)+SUMIF(F2:F44,N52,I2:I44)+SUMIF(J2:J45,N52,M2:M45)+SUMIF(N2:N45,N52,Q2:Q45)+SUMIF(R2:R45,N52,U2:U45)+SUMIF(V2:V45,N52,Y2:Y45)</f>
        <v>300</v>
      </c>
      <c r="N52" s="125" t="s">
        <v>723</v>
      </c>
      <c r="Q52" s="136">
        <f>SUMIF(B2:B45,R52,E2:E45)+SUMIF(F2:F44,R52,I2:I44)+SUMIF(J2:J45,R52,M2:M45)+SUMIF(N2:N45,R52,Q2:Q45)+SUMIF(R2:R45,R52,U2:U45)+SUMIF(V2:V45,R52,Y2:Y45)</f>
        <v>15</v>
      </c>
      <c r="R52" s="125" t="s">
        <v>1239</v>
      </c>
    </row>
    <row r="53" spans="5:18" ht="21.75" customHeight="1">
      <c r="E53" s="136">
        <f>SUMIF(B2:B45,F53,E2:E45)+SUMIF(F2:F44,F53,I2:I44)+SUMIF(J2:J45,F53,M2:M45)+SUMIF(N2:N45,F53,Q2:Q45)+SUMIF(R2:R45,F53,U2:U45)+SUMIF(V2:V45,F53,Y2:Y45)</f>
        <v>354</v>
      </c>
      <c r="F53" s="125" t="s">
        <v>194</v>
      </c>
      <c r="I53" s="136">
        <f>SUMIF(B2:B45,J53,E2:E45)+SUMIF(F2:F44,J53,I2:I44)+SUMIF(J2:J45,J53,M2:M45)+SUMIF(N2:N45,J53,Q2:Q45)+SUMIF(R2:R45,J53,U2:U45)+SUMIF(V2:V45,J53,Y2:Y45)</f>
        <v>56</v>
      </c>
      <c r="J53" s="125" t="s">
        <v>568</v>
      </c>
      <c r="M53" s="136">
        <f>SUMIF(B2:B45,N53,E2:E45)+SUMIF(F2:F44,N53,I2:I44)+SUMIF(J2:J45,N53,M2:M45)+SUMIF(N2:N45,N53,Q2:Q45)+SUMIF(R2:R45,N53,U2:U45)+SUMIF(V2:V45,N53,Y2:Y45)</f>
        <v>1190</v>
      </c>
      <c r="N53" s="125" t="s">
        <v>752</v>
      </c>
      <c r="Q53" s="136">
        <f>SUMIF(B2:B45,R53,E2:E45)+SUMIF(F2:F44,R53,I2:I44)+SUMIF(J2:J45,R53,M2:M45)+SUMIF(N2:N45,R53,Q2:Q45)+SUMIF(R2:R45,R53,U2:U45)+SUMIF(V2:V45,R53,Y2:Y45)</f>
        <v>0</v>
      </c>
      <c r="R53" s="26" t="s">
        <v>1268</v>
      </c>
    </row>
    <row r="54" spans="5:18" ht="21.75" customHeight="1">
      <c r="E54" s="136">
        <f>SUMIF(B2:B45,F54,E2:E45)+SUMIF(F2:F44,F54,I2:I44)+SUMIF(J2:J45,F54,M2:M45)+SUMIF(N2:N45,F54,Q2:Q45)+SUMIF(R2:R45,F54,U2:U45)+SUMIF(V2:V45,F54,Y2:Y45)</f>
        <v>66</v>
      </c>
      <c r="F54" s="125" t="s">
        <v>208</v>
      </c>
      <c r="I54" s="136">
        <f>SUMIF(B2:B45,J54,E2:E45)+SUMIF(F2:F44,J54,I2:I44)+SUMIF(J2:J45,J54,M2:M45)+SUMIF(N2:N45,J54,Q2:Q45)+SUMIF(R2:R45,J54,U2:U45)+SUMIF(V2:V45,J54,Y2:Y45)</f>
        <v>204</v>
      </c>
      <c r="J54" s="125" t="s">
        <v>604</v>
      </c>
      <c r="M54" s="136">
        <f>SUMIF(B2:B45,N54,E2:E45)+SUMIF(F2:F44,N54,I2:I44)+SUMIF(J2:J45,N54,M2:M45)+SUMIF(N2:N45,N54,Q2:Q45)+SUMIF(R2:R45,N54,U2:U45)+SUMIF(V2:V45,N54,Y2:Y45)</f>
        <v>9074</v>
      </c>
      <c r="N54" s="125" t="s">
        <v>753</v>
      </c>
      <c r="Q54" s="136">
        <f>A46</f>
        <v>896</v>
      </c>
      <c r="R54" s="125" t="s">
        <v>933</v>
      </c>
    </row>
    <row r="55" spans="5:18" ht="21.75" customHeight="1">
      <c r="E55" s="136">
        <f>SUMIF(B2:B45,F55,E2:E45)+SUMIF(F2:F44,F55,I2:I44)+SUMIF(J2:J45,F55,M2:M45)+SUMIF(N2:N45,F55,Q2:Q45)+SUMIF(R2:R45,F55,U2:U45)+SUMIF(V2:V45,F55,Y2:Y45)</f>
        <v>42</v>
      </c>
      <c r="F55" s="125" t="s">
        <v>205</v>
      </c>
      <c r="I55" s="136">
        <f>SUMIF(B2:B45,J55,E2:E45)+SUMIF(F2:F44,J55,I2:I44)+SUMIF(J2:J45,J55,M2:M45)+SUMIF(N2:N45,J55,Q2:Q45)+SUMIF(R2:R45,J55,U2:U45)+SUMIF(V2:V45,J55,Y2:Y45)</f>
        <v>42</v>
      </c>
      <c r="J55" s="125" t="s">
        <v>603</v>
      </c>
      <c r="M55" s="136">
        <f>SUMIF(B2:B45,N55,E2:E45)+SUMIF(F2:F44,N55,I2:I44)+SUMIF(J2:J45,N55,M2:M45)+SUMIF(N2:N45,N55,Q2:Q45)+SUMIF(R2:R45,N55,U2:U45)+SUMIF(V2:V45,N55,Y2:Y45)</f>
        <v>84</v>
      </c>
      <c r="N55" s="125" t="s">
        <v>826</v>
      </c>
      <c r="Q55" s="136">
        <f>Z46</f>
        <v>810</v>
      </c>
      <c r="R55" s="125" t="s">
        <v>1326</v>
      </c>
    </row>
    <row r="56" spans="5:18" ht="21.75" customHeight="1">
      <c r="E56" s="136">
        <f>SUMIF(B2:B45,F56,E2:E45)+SUMIF(F2:F44,F56,I2:I44)+SUMIF(J2:J45,F56,M2:M45)+SUMIF(N2:N45,F56,Q2:Q45)+SUMIF(R2:R45,F56,U2:U45)+SUMIF(V2:V45,F56,Y2:Y45)</f>
        <v>66</v>
      </c>
      <c r="F56" s="125" t="s">
        <v>206</v>
      </c>
      <c r="I56" s="136">
        <f>SUMIF(B2:B45,J56,E2:E45)+SUMIF(F2:F44,J56,I2:I44)+SUMIF(J2:J45,J56,M2:M45)+SUMIF(N2:N45,J56,Q2:Q45)+SUMIF(R2:R45,J56,U2:U45)+SUMIF(V2:V45,J56,Y2:Y45)</f>
        <v>5090</v>
      </c>
      <c r="J56" s="125" t="s">
        <v>582</v>
      </c>
      <c r="M56" s="136">
        <f>SUMIF(B2:B45,N56,E2:E45)+SUMIF(F2:F44,N56,I2:I44)+SUMIF(J2:J45,N56,M2:M45)+SUMIF(N2:N45,N56,Q2:Q45)+SUMIF(R2:R45,N56,U2:U45)+SUMIF(V2:V45,N56,Y2:Y45)</f>
        <v>126</v>
      </c>
      <c r="N56" s="125" t="s">
        <v>847</v>
      </c>
      <c r="Q56" s="136">
        <f>SUMIF(B2:B45,R56,E2:E45)+SUMIF(F2:F44,R56,I2:I44)+SUMIF(J2:J45,R56,M2:M45)+SUMIF(N2:N45,R56,Q2:Q45)+SUMIF(R2:R45,R56,U2:U45)+SUMIF(V2:V45,R56,Y2:Y45)</f>
        <v>4500</v>
      </c>
      <c r="R56" s="26" t="s">
        <v>1303</v>
      </c>
    </row>
    <row r="57" spans="5:18" ht="21.75" customHeight="1">
      <c r="E57" s="136">
        <f>SUMIF(B2:B45,F57,E2:E45)+SUMIF(F2:F44,F57,I2:I44)+SUMIF(J2:J45,F57,M2:M45)+SUMIF(N2:N45,F57,Q2:Q45)+SUMIF(R2:R45,F57,U2:U45)+SUMIF(V2:V45,F57,Y2:Y45)</f>
        <v>39</v>
      </c>
      <c r="F57" s="125" t="s">
        <v>240</v>
      </c>
      <c r="I57" s="136">
        <f>SUMIF(B2:B45,J57,E2:E45)+SUMIF(F2:F44,J57,I2:I44)+SUMIF(J2:J45,J57,M2:M45)+SUMIF(N2:N45,J57,Q2:Q45)+SUMIF(R2:R45,J57,U2:U45)+SUMIF(V2:V45,J57,Y2:Y45)</f>
        <v>36</v>
      </c>
      <c r="J57" s="125" t="s">
        <v>634</v>
      </c>
      <c r="M57" s="136">
        <f>SUMIF(B2:B45,N57,E2:E45)+SUMIF(F2:F44,N57,I2:I44)+SUMIF(J2:J45,N57,M2:M45)+SUMIF(N2:N45,N57,Q2:Q45)+SUMIF(R2:R45,N57,U2:U45)+SUMIF(V2:V45,N57,Y2:Y45)</f>
        <v>21</v>
      </c>
      <c r="N57" s="125" t="s">
        <v>851</v>
      </c>
      <c r="Q57" s="136">
        <f>SUMIF(B2:B45,R57,E2:E45)+SUMIF(F2:F44,R57,I2:I44)+SUMIF(J2:J45,R57,M2:M45)+SUMIF(N2:N45,R57,Q2:Q45)+SUMIF(R2:R45,R57,U2:U45)+SUMIF(V2:V45,R57,Y2:Y45)</f>
        <v>174</v>
      </c>
      <c r="R57" s="22" t="s">
        <v>1072</v>
      </c>
    </row>
    <row r="58" spans="5:18" ht="21.75" customHeight="1">
      <c r="E58" s="136">
        <f>SUMIF(B2:B45,F58,E2:E45)+SUMIF(F2:F44,F58,I2:I44)+SUMIF(J2:J45,F58,M2:M45)+SUMIF(N2:N45,F58,Q2:Q45)+SUMIF(R2:R45,F58,U2:U45)+SUMIF(V2:V45,F58,Y2:Y45)</f>
        <v>8</v>
      </c>
      <c r="F58" s="125" t="s">
        <v>263</v>
      </c>
      <c r="I58" s="136">
        <f>SUMIF(B2:B45,J58,E2:E45)+SUMIF(F2:F44,J58,I2:I44)+SUMIF(J2:J45,J58,M2:M45)+SUMIF(N2:N45,J58,Q2:Q45)+SUMIF(R2:R45,J58,U2:U45)+SUMIF(V2:V45,J58,Y2:Y45)</f>
        <v>12</v>
      </c>
      <c r="J58" s="125" t="s">
        <v>671</v>
      </c>
      <c r="M58" s="136">
        <f>SUMIF(B2:B45,N58,E2:E45)+SUMIF(F2:F44,N58,I2:I44)+SUMIF(J2:J45,N58,M2:M45)+SUMIF(N2:N45,N58,Q2:Q45)+SUMIF(R2:R45,N58,U2:U45)+SUMIF(V2:V45,N58,Y2:Y45)</f>
        <v>28</v>
      </c>
      <c r="N58" s="125" t="s">
        <v>874</v>
      </c>
      <c r="R58" s="134">
        <f>SUM(E47:Q66)</f>
        <v>31323</v>
      </c>
    </row>
    <row r="59" spans="5:18" ht="21.75" customHeight="1">
      <c r="E59" s="136">
        <f>SUMIF(B2:B45,F59,E2:E45)+SUMIF(F2:F44,F59,I2:I44)+SUMIF(J2:J45,F59,M2:M45)+SUMIF(N2:N45,F59,Q2:Q45)+SUMIF(R2:R45,F59,U2:U45)+SUMIF(V2:V45,F59,Y2:Y45)</f>
        <v>24</v>
      </c>
      <c r="F59" s="125" t="s">
        <v>265</v>
      </c>
      <c r="I59" s="136">
        <f>SUMIF(B2:B45,J59,E2:E45)+SUMIF(F2:F44,J59,I2:I44)+SUMIF(J2:J45,J59,M2:M45)+SUMIF(N2:N45,J59,Q2:Q45)+SUMIF(R2:R45,J59,U2:U45)+SUMIF(V2:V45,J59,Y2:Y45)</f>
        <v>28</v>
      </c>
      <c r="J59" s="125" t="s">
        <v>670</v>
      </c>
      <c r="M59" s="136">
        <f>SUMIF(B2:B45,N59,E2:E45)+SUMIF(F2:F44,N59,I2:I44)+SUMIF(J2:J45,N59,M2:M45)+SUMIF(N2:N45,N59,Q2:Q45)+SUMIF(R2:R45,N59,U2:U45)+SUMIF(V2:V45,N59,Y2:Y45)</f>
        <v>88</v>
      </c>
      <c r="N59" s="125" t="s">
        <v>911</v>
      </c>
      <c r="R59" s="137">
        <f>B46-R58</f>
        <v>0</v>
      </c>
    </row>
    <row r="60" spans="5:18" ht="21.75" customHeight="1">
      <c r="E60" s="136">
        <f>SUMIF(B2:B45,F60,E2:E45)+SUMIF(F2:F44,F60,I2:I44)+SUMIF(J2:J45,F60,M2:M45)+SUMIF(N2:N45,F60,Q2:Q45)+SUMIF(R2:R45,F60,U2:U45)+SUMIF(V2:V45,F60,Y2:Y45)</f>
        <v>75</v>
      </c>
      <c r="F60" s="125" t="s">
        <v>294</v>
      </c>
      <c r="I60" s="136">
        <f>SUMIF(B2:B45,J60,E2:E45)+SUMIF(F2:F44,J60,I2:I44)+SUMIF(J2:J45,J60,M2:M45)+SUMIF(N2:N45,J60,Q2:Q45)+SUMIF(R2:R45,J60,U2:U45)+SUMIF(V2:V45,J60,Y2:Y45)</f>
        <v>324</v>
      </c>
      <c r="J60" s="125" t="s">
        <v>1329</v>
      </c>
      <c r="M60" s="136">
        <f>SUMIF(B2:B45,N60,E2:E45)+SUMIF(F2:F44,N60,I2:I44)+SUMIF(J2:J45,N60,M2:M45)+SUMIF(N2:N45,N60,Q2:Q45)+SUMIF(R2:R45,N60,U2:U45)+SUMIF(V2:V45,N60,Y2:Y45)</f>
        <v>150</v>
      </c>
      <c r="N60" s="125" t="s">
        <v>935</v>
      </c>
    </row>
    <row r="61" spans="5:18" ht="21.75" customHeight="1">
      <c r="E61" s="136">
        <f>SUMIF(B2:B45,F61,E2:E45)+SUMIF(F2:F44,F61,I2:I44)+SUMIF(J2:J45,F61,M2:M45)+SUMIF(N2:N45,F61,Q2:Q45)+SUMIF(R2:R45,F61,U2:U45)+SUMIF(V2:V45,F61,Y2:Y45)</f>
        <v>30</v>
      </c>
      <c r="F61" s="125" t="s">
        <v>391</v>
      </c>
      <c r="I61" s="136">
        <f>SUMIF(B2:B45,J61,E2:E45)+SUMIF(F2:F44,J61,I2:I44)+SUMIF(J2:J45,J61,M2:M45)+SUMIF(N2:N45,J61,Q2:Q45)+SUMIF(R2:R45,J61,U2:U45)+SUMIF(V2:V45,J61,Y2:Y45)</f>
        <v>12</v>
      </c>
      <c r="J61" s="125" t="s">
        <v>694</v>
      </c>
      <c r="M61" s="136">
        <f>SUMIF(B2:B45,N61,E2:E45)+SUMIF(F2:F44,N61,I2:I44)+SUMIF(J2:J45,N61,M2:M45)+SUMIF(N2:N45,N61,Q2:Q45)+SUMIF(R2:R45,N61,U2:U45)+SUMIF(V2:V45,N61,Y2:Y45)</f>
        <v>44</v>
      </c>
      <c r="N61" s="125" t="s">
        <v>965</v>
      </c>
    </row>
    <row r="62" spans="5:18" ht="21.75" customHeight="1">
      <c r="E62" s="136">
        <f>SUMIF(B2:B45,F62,E2:E45)+SUMIF(F2:F44,F62,I2:I44)+SUMIF(J2:J45,F62,M2:M45)+SUMIF(N2:N45,F62,Q2:Q45)+SUMIF(R2:R45,F62,U2:U45)+SUMIF(V2:V45,F62,Y2:Y45)</f>
        <v>1020</v>
      </c>
      <c r="F62" s="125" t="s">
        <v>1327</v>
      </c>
      <c r="I62" s="136">
        <f>SUMIF(B2:B45,J62,E2:E45)+SUMIF(F2:F44,J62,I2:I44)+SUMIF(J2:J45,J62,M2:M45)+SUMIF(N2:N45,J62,Q2:Q45)+SUMIF(R2:R45,J62,U2:U45)+SUMIF(V2:V45,J62,Y2:Y45)</f>
        <v>12</v>
      </c>
      <c r="J62" s="125" t="s">
        <v>691</v>
      </c>
      <c r="M62" s="136">
        <f>SUMIF(B2:B45,N62,E2:E45)+SUMIF(F2:F44,N62,I2:I44)+SUMIF(J2:J45,N62,M2:M45)+SUMIF(N2:N45,N62,Q2:Q45)+SUMIF(R2:R45,N62,U2:U45)+SUMIF(V2:V45,N62,Y2:Y45)</f>
        <v>0</v>
      </c>
      <c r="N62" s="125" t="s">
        <v>969</v>
      </c>
    </row>
    <row r="63" spans="5:18" ht="21.75" customHeight="1">
      <c r="E63" s="136">
        <f>SUMIF(B2:B45,F63,E2:E45)+SUMIF(F2:F44,F63,I2:I44)+SUMIF(J2:J45,F63,M2:M45)+SUMIF(N2:N45,F63,Q2:Q45)+SUMIF(R2:R45,F63,U2:U45)+SUMIF(V2:V45,F63,Y2:Y45)</f>
        <v>70</v>
      </c>
      <c r="F63" s="125" t="s">
        <v>390</v>
      </c>
      <c r="I63" s="136">
        <f>SUMIF(B2:B45,J63,E2:E45)+SUMIF(F2:F44,J63,I2:I44)+SUMIF(J2:J45,J63,M2:M45)+SUMIF(N2:N45,J63,Q2:Q45)+SUMIF(R2:R45,J63,U2:U45)+SUMIF(V2:V45,J63,Y2:Y45)</f>
        <v>12</v>
      </c>
      <c r="J63" s="125" t="s">
        <v>697</v>
      </c>
      <c r="M63" s="136">
        <f>SUMIF(B2:B45,N63,E2:E45)+SUMIF(F2:F44,N63,I2:I44)+SUMIF(J2:J45,N63,M2:M45)+SUMIF(N2:N45,N63,Q2:Q45)+SUMIF(R2:R45,N63,U2:U45)+SUMIF(V2:V45,N63,Y2:Y45)</f>
        <v>75</v>
      </c>
      <c r="N63" s="125" t="s">
        <v>1099</v>
      </c>
    </row>
    <row r="64" spans="5:18" ht="21.75" customHeight="1">
      <c r="E64" s="136">
        <f>SUMIF(B2:B45,F64,E2:E45)+SUMIF(F2:F44,F64,I2:I44)+SUMIF(J2:J45,F64,M2:M45)+SUMIF(N2:N45,F64,Q2:Q45)+SUMIF(R2:R45,F64,U2:U45)+SUMIF(V2:V45,F64,Y2:Y45)</f>
        <v>0</v>
      </c>
      <c r="F64" s="125" t="s">
        <v>422</v>
      </c>
      <c r="I64" s="136">
        <f>SUMIF(B2:B45,J64,E2:E45)+SUMIF(F2:F44,J64,I2:I44)+SUMIF(J2:J45,J64,M2:M45)+SUMIF(N2:N45,J64,Q2:Q45)+SUMIF(R2:R45,J64,U2:U45)+SUMIF(V2:V45,J64,Y2:Y45)</f>
        <v>24</v>
      </c>
      <c r="J64" s="125" t="s">
        <v>704</v>
      </c>
      <c r="M64" s="136">
        <f>SUMIF(B2:B45,N64,E2:E45)+SUMIF(F2:F44,N64,I2:I44)+SUMIF(J2:J45,N64,M2:M45)+SUMIF(N2:N45,N64,Q2:Q45)+SUMIF(R2:R45,N64,U2:U45)+SUMIF(V2:V45,N64,Y2:Y45)</f>
        <v>95</v>
      </c>
      <c r="N64" s="125" t="s">
        <v>1129</v>
      </c>
    </row>
    <row r="65" spans="5:14" ht="21.75" customHeight="1">
      <c r="E65" s="136">
        <f>SUMIF(B2:B45,F65,E2:E45)+SUMIF(F2:F44,F65,I2:I44)+SUMIF(J2:J45,F65,M2:M45)+SUMIF(N2:N45,F65,Q2:Q45)+SUMIF(R2:R45,F65,U2:U45)+SUMIF(V2:V45,F65,Y2:Y45)</f>
        <v>32</v>
      </c>
      <c r="F65" s="125" t="s">
        <v>455</v>
      </c>
      <c r="I65" s="136">
        <f>SUMIF(B2:B45,J65,E2:E45)+SUMIF(F2:F44,J65,I2:I44)+SUMIF(J2:J45,J65,M2:M45)+SUMIF(N2:N45,J65,Q2:Q45)+SUMIF(R2:R45,J65,U2:U45)+SUMIF(V2:V45,J65,Y2:Y45)</f>
        <v>20</v>
      </c>
      <c r="J65" s="125" t="s">
        <v>702</v>
      </c>
      <c r="M65" s="136">
        <f>SUMIF(B2:B45,N65,E2:E45)+SUMIF(F2:F44,N65,I2:I44)+SUMIF(J2:J45,N65,M2:M45)+SUMIF(N2:N45,N65,Q2:Q45)+SUMIF(R2:R45,N65,U2:U45)+SUMIF(V2:V45,N65,Y2:Y45)</f>
        <v>44</v>
      </c>
      <c r="N65" s="125" t="s">
        <v>1131</v>
      </c>
    </row>
    <row r="66" spans="5:14" ht="21.75" customHeight="1">
      <c r="E66" s="136">
        <f>SUMIF(B2:B45,F66,E2:E45)+SUMIF(F2:F44,F66,I2:I44)+SUMIF(J2:J45,F66,M2:M45)+SUMIF(N2:N45,F66,Q2:Q45)+SUMIF(R2:R45,F66,U2:U45)+SUMIF(V2:V45,F66,Y2:Y45)</f>
        <v>1080</v>
      </c>
      <c r="F66" s="26" t="s">
        <v>408</v>
      </c>
    </row>
    <row r="90" spans="18:18" ht="21.75" customHeight="1">
      <c r="R90" s="128"/>
    </row>
  </sheetData>
  <mergeCells count="2">
    <mergeCell ref="X2:Y2"/>
    <mergeCell ref="A5:A43"/>
  </mergeCells>
  <printOptions horizontalCentered="1" verticalCentered="1"/>
  <pageMargins left="0.16" right="0.16" top="0.16" bottom="0.15" header="0.16" footer="0.15"/>
  <pageSetup paperSize="9" scale="62" fitToWidth="0" fitToHeight="0" orientation="landscape" horizontalDpi="300" verticalDpi="300" r:id="rId1"/>
  <rowBreaks count="1" manualBreakCount="1">
    <brk id="46" max="2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pane xSplit="3" ySplit="2" topLeftCell="D3" activePane="bottomRight" state="frozen"/>
      <selection activeCell="AC2" sqref="AC2"/>
      <selection pane="topRight" activeCell="AC2" sqref="AC2"/>
      <selection pane="bottomLeft" activeCell="AC2" sqref="AC2"/>
      <selection pane="bottomRight" activeCell="AC2" sqref="AC2"/>
    </sheetView>
  </sheetViews>
  <sheetFormatPr defaultRowHeight="32.25" customHeight="1"/>
  <cols>
    <col min="1" max="1" width="5.85546875" customWidth="1"/>
    <col min="2" max="2" width="13.140625" customWidth="1"/>
    <col min="3" max="3" width="22.7109375" customWidth="1"/>
    <col min="4" max="9" width="13.140625" customWidth="1"/>
  </cols>
  <sheetData>
    <row r="1" spans="2:11" ht="32.25" customHeight="1">
      <c r="C1" s="94" t="s">
        <v>1332</v>
      </c>
    </row>
    <row r="2" spans="2:11" ht="32.25" customHeight="1">
      <c r="C2" s="138" t="s">
        <v>1333</v>
      </c>
      <c r="D2" s="138" t="s">
        <v>1334</v>
      </c>
      <c r="E2" s="138" t="s">
        <v>1335</v>
      </c>
      <c r="F2" s="138" t="s">
        <v>1336</v>
      </c>
      <c r="G2" s="138" t="s">
        <v>1337</v>
      </c>
      <c r="H2" s="138" t="s">
        <v>1338</v>
      </c>
      <c r="I2" s="138" t="s">
        <v>1275</v>
      </c>
      <c r="J2" s="20" t="s">
        <v>1339</v>
      </c>
    </row>
    <row r="3" spans="2:11" ht="32.25" customHeight="1">
      <c r="C3" s="36" t="s">
        <v>68</v>
      </c>
      <c r="D3" s="22">
        <v>11</v>
      </c>
      <c r="E3" s="22">
        <v>8</v>
      </c>
      <c r="F3" s="22">
        <v>5</v>
      </c>
      <c r="G3" s="22">
        <v>8</v>
      </c>
      <c r="H3" s="6"/>
      <c r="I3" s="22">
        <f>SUM(D3:H3)</f>
        <v>32</v>
      </c>
      <c r="J3" s="20">
        <v>2</v>
      </c>
    </row>
    <row r="4" spans="2:11" ht="32.25" customHeight="1">
      <c r="C4" s="56" t="s">
        <v>1340</v>
      </c>
      <c r="D4" s="22">
        <v>46</v>
      </c>
      <c r="E4" s="22"/>
      <c r="F4" s="22"/>
      <c r="G4" s="22"/>
      <c r="H4" s="6"/>
      <c r="I4" s="22">
        <f>SUM(D4:H4)</f>
        <v>46</v>
      </c>
      <c r="J4" s="20">
        <v>14</v>
      </c>
    </row>
    <row r="5" spans="2:11" ht="32.25" customHeight="1">
      <c r="C5" s="19" t="s">
        <v>1341</v>
      </c>
      <c r="D5" s="22"/>
      <c r="E5" s="22">
        <v>37</v>
      </c>
      <c r="F5" s="22"/>
      <c r="G5" s="22"/>
      <c r="H5" s="6"/>
      <c r="I5" s="22">
        <f>SUM(D5:H5)</f>
        <v>37</v>
      </c>
      <c r="J5" s="20">
        <v>6</v>
      </c>
    </row>
    <row r="6" spans="2:11" ht="32.25" customHeight="1">
      <c r="C6" s="21" t="s">
        <v>1342</v>
      </c>
      <c r="D6" s="22"/>
      <c r="E6" s="22"/>
      <c r="F6" s="22">
        <v>47</v>
      </c>
      <c r="G6" s="22">
        <v>37</v>
      </c>
      <c r="H6" s="6"/>
      <c r="I6" s="22">
        <f>SUM(D6:H6)</f>
        <v>84</v>
      </c>
      <c r="J6" s="20">
        <v>14</v>
      </c>
    </row>
    <row r="7" spans="2:11" ht="32.25" customHeight="1">
      <c r="C7" s="139" t="s">
        <v>1343</v>
      </c>
      <c r="D7" s="139">
        <f>SUBTOTAL(9,D3:D6)</f>
        <v>57</v>
      </c>
      <c r="E7" s="139">
        <f>SUBTOTAL(9,E3:E6)</f>
        <v>45</v>
      </c>
      <c r="F7" s="139">
        <f>SUBTOTAL(9,F3:F6)</f>
        <v>52</v>
      </c>
      <c r="G7" s="139">
        <f>SUBTOTAL(9,G3:G6)</f>
        <v>45</v>
      </c>
      <c r="H7" s="92"/>
      <c r="I7" s="139">
        <f>SUBTOTAL(9,I3:I6)</f>
        <v>199</v>
      </c>
      <c r="J7" s="20">
        <f>SUBTOTAL(9,J3:J6)</f>
        <v>36</v>
      </c>
      <c r="K7" s="140">
        <f>I7-J7</f>
        <v>163</v>
      </c>
    </row>
    <row r="8" spans="2:11" ht="15" customHeight="1"/>
    <row r="9" spans="2:11" ht="32.25" customHeight="1">
      <c r="C9" s="47" t="s">
        <v>89</v>
      </c>
      <c r="D9" s="22"/>
      <c r="E9" s="22"/>
      <c r="F9" s="22"/>
      <c r="G9" s="22"/>
      <c r="H9" s="22">
        <v>51</v>
      </c>
      <c r="I9" s="22">
        <f>SUM(D9:H9)</f>
        <v>51</v>
      </c>
      <c r="J9" s="20">
        <v>28</v>
      </c>
    </row>
    <row r="10" spans="2:11" ht="32.25" customHeight="1">
      <c r="C10" s="75" t="s">
        <v>482</v>
      </c>
      <c r="D10" s="22"/>
      <c r="E10" s="22"/>
      <c r="F10" s="22"/>
      <c r="G10" s="22">
        <v>86</v>
      </c>
      <c r="H10" s="22"/>
      <c r="I10" s="22">
        <f>SUM(D10:H10)</f>
        <v>86</v>
      </c>
      <c r="J10" s="20">
        <v>2</v>
      </c>
    </row>
    <row r="11" spans="2:11" ht="32.25" customHeight="1">
      <c r="C11" s="18" t="s">
        <v>96</v>
      </c>
      <c r="D11" s="22">
        <v>88</v>
      </c>
      <c r="E11" s="22">
        <v>34</v>
      </c>
      <c r="F11" s="22">
        <v>60</v>
      </c>
      <c r="G11" s="22">
        <v>40</v>
      </c>
      <c r="H11" s="22"/>
      <c r="I11" s="22">
        <f>SUM(D11:H11)</f>
        <v>222</v>
      </c>
      <c r="J11" s="20">
        <v>111</v>
      </c>
    </row>
    <row r="12" spans="2:11" ht="32.25" customHeight="1">
      <c r="C12" s="34" t="s">
        <v>1344</v>
      </c>
      <c r="D12" s="22"/>
      <c r="E12" s="22"/>
      <c r="F12" s="22"/>
      <c r="G12" s="22">
        <v>35</v>
      </c>
      <c r="H12" s="22"/>
      <c r="I12" s="22">
        <f>SUM(D12:H12)</f>
        <v>35</v>
      </c>
      <c r="J12" s="20">
        <v>35</v>
      </c>
    </row>
    <row r="13" spans="2:11" ht="32.25" customHeight="1">
      <c r="B13" s="97"/>
      <c r="C13" s="139" t="s">
        <v>1275</v>
      </c>
      <c r="D13" s="139">
        <f>SUM(D7:D12)</f>
        <v>145</v>
      </c>
      <c r="E13" s="139">
        <f>SUM(E7:E12)</f>
        <v>79</v>
      </c>
      <c r="F13" s="139">
        <f>SUM(F7:F12)</f>
        <v>112</v>
      </c>
      <c r="G13" s="139">
        <f>SUM(G7:G12)</f>
        <v>206</v>
      </c>
      <c r="H13" s="139">
        <f>SUM(H7:H12)</f>
        <v>51</v>
      </c>
      <c r="I13" s="139">
        <f>SUM(D13:H13)</f>
        <v>593</v>
      </c>
      <c r="J13" s="20">
        <f>SUBTOTAL(9,J3:J12)</f>
        <v>212</v>
      </c>
      <c r="K13" s="140">
        <f>I13-J13</f>
        <v>381</v>
      </c>
    </row>
    <row r="14" spans="2:11" ht="32.25" customHeight="1">
      <c r="C14" s="65" t="s">
        <v>1345</v>
      </c>
      <c r="D14" s="139">
        <v>17</v>
      </c>
      <c r="E14" s="139">
        <v>7</v>
      </c>
      <c r="F14" s="139">
        <v>2</v>
      </c>
      <c r="G14" s="139">
        <v>5</v>
      </c>
      <c r="H14" s="139">
        <v>20</v>
      </c>
      <c r="I14" s="139">
        <v>51</v>
      </c>
      <c r="K14">
        <f>K13-K7</f>
        <v>218</v>
      </c>
    </row>
    <row r="15" spans="2:11" ht="32.25" customHeight="1">
      <c r="K15">
        <f>K14+K7+J13</f>
        <v>593</v>
      </c>
    </row>
  </sheetData>
  <pageMargins left="0.16" right="0.16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Matrix 1&amp;2</vt:lpstr>
      <vt:lpstr>Layout for shadhous 1&amp;2</vt:lpstr>
      <vt:lpstr>Layout for trees left</vt:lpstr>
      <vt:lpstr>Layout for trees right</vt:lpstr>
      <vt:lpstr>Layout for shadhous 3</vt:lpstr>
      <vt:lpstr>Category details</vt:lpstr>
      <vt:lpstr>'Layout for shadhous 3'!Print_Area</vt:lpstr>
      <vt:lpstr>'Layout for trees left'!Print_Area</vt:lpstr>
      <vt:lpstr>'Matrix 1&amp;2'!Print_Area</vt:lpstr>
      <vt:lpstr>'Matrix 1&amp;2'!Print_Titles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</dc:creator>
  <cp:lastModifiedBy>badi</cp:lastModifiedBy>
  <cp:lastPrinted>2014-12-11T10:55:04Z</cp:lastPrinted>
  <dcterms:created xsi:type="dcterms:W3CDTF">2014-11-01T12:38:25Z</dcterms:created>
  <dcterms:modified xsi:type="dcterms:W3CDTF">2014-12-11T10:56:48Z</dcterms:modified>
</cp:coreProperties>
</file>