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225" windowWidth="14805" windowHeight="7890" tabRatio="989" firstSheet="1" activeTab="9"/>
  </bookViews>
  <sheets>
    <sheet name="Сансар Колонк" sheetId="1" r:id="rId1"/>
    <sheet name="Ургах наран цаана" sheetId="2" r:id="rId2"/>
    <sheet name="King tower" sheetId="3" r:id="rId3"/>
    <sheet name="Төв аймаг зам дагуу" sheetId="13" r:id="rId4"/>
    <sheet name="Алтанөлгий Эрдэнэтолгой" sheetId="4" r:id="rId5"/>
    <sheet name="Шархад Нарийний ферм" sheetId="5" r:id="rId6"/>
    <sheet name="Станцын хойно гэр хороолол" sheetId="6" r:id="rId7"/>
    <sheet name="дорнод РТВ" sheetId="7" r:id="rId8"/>
    <sheet name="Зүүн гэр хороолол" sheetId="8" r:id="rId9"/>
    <sheet name="Богины ам" sheetId="9" r:id="rId10"/>
    <sheet name="Happy town" sheetId="10" r:id="rId11"/>
    <sheet name="Тахилт эцэс" sheetId="11" r:id="rId12"/>
    <sheet name="Хэнтий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E9" i="9" l="1"/>
  <c r="B9" i="9"/>
  <c r="D7" i="5"/>
  <c r="D7" i="4"/>
  <c r="D7" i="2"/>
  <c r="C7" i="2"/>
  <c r="C7" i="3"/>
  <c r="C7" i="1"/>
  <c r="C6" i="1"/>
  <c r="C6" i="3"/>
  <c r="D8" i="13"/>
  <c r="D7" i="13"/>
  <c r="C8" i="13"/>
  <c r="C7" i="13"/>
  <c r="B8" i="13"/>
  <c r="B7" i="13"/>
  <c r="G6" i="13"/>
  <c r="E6" i="4"/>
  <c r="C9" i="5"/>
  <c r="E9" i="5"/>
  <c r="G6" i="6"/>
  <c r="B9" i="8"/>
  <c r="G9" i="8"/>
  <c r="G6" i="8"/>
  <c r="E6" i="9"/>
  <c r="D7" i="9"/>
  <c r="E6" i="11"/>
  <c r="G6" i="12"/>
  <c r="E9" i="12"/>
  <c r="B9" i="12"/>
  <c r="G9" i="12"/>
  <c r="I8" i="13" l="1"/>
  <c r="I7" i="13"/>
  <c r="H8" i="13"/>
  <c r="H7" i="13"/>
  <c r="G8" i="13"/>
  <c r="G7" i="13"/>
  <c r="E8" i="13"/>
  <c r="E7" i="13"/>
  <c r="E24" i="13"/>
  <c r="F22" i="13"/>
  <c r="F23" i="13" s="1"/>
  <c r="F24" i="13" s="1"/>
  <c r="F8" i="13"/>
  <c r="F7" i="13"/>
  <c r="E10" i="2"/>
  <c r="G9" i="2"/>
  <c r="F9" i="2"/>
  <c r="E9" i="2"/>
  <c r="D9" i="2"/>
  <c r="C9" i="2"/>
  <c r="B9" i="2"/>
  <c r="F20" i="2"/>
  <c r="G18" i="2"/>
  <c r="G19" i="2" s="1"/>
  <c r="G20" i="2" s="1"/>
  <c r="B9" i="13" l="1"/>
  <c r="G9" i="13"/>
  <c r="D9" i="13"/>
  <c r="D10" i="13" s="1"/>
  <c r="F9" i="13"/>
  <c r="F10" i="13" s="1"/>
  <c r="B10" i="13"/>
  <c r="H9" i="13"/>
  <c r="H10" i="13" s="1"/>
  <c r="C9" i="13"/>
  <c r="C10" i="13" s="1"/>
  <c r="I9" i="13"/>
  <c r="I10" i="13" s="1"/>
  <c r="G10" i="13"/>
  <c r="E9" i="13"/>
  <c r="E10" i="13" s="1"/>
  <c r="F21" i="9"/>
  <c r="G19" i="9"/>
  <c r="E10" i="9" s="1"/>
  <c r="F7" i="9"/>
  <c r="F6" i="9"/>
  <c r="E24" i="12"/>
  <c r="F22" i="12"/>
  <c r="I9" i="12" s="1"/>
  <c r="I8" i="12"/>
  <c r="H8" i="12"/>
  <c r="F8" i="12"/>
  <c r="D8" i="12"/>
  <c r="B8" i="12"/>
  <c r="I7" i="12"/>
  <c r="H7" i="12"/>
  <c r="F7" i="12"/>
  <c r="D7" i="12"/>
  <c r="B7" i="12"/>
  <c r="G10" i="8"/>
  <c r="E24" i="8"/>
  <c r="F22" i="8"/>
  <c r="D9" i="8" s="1"/>
  <c r="I8" i="8"/>
  <c r="H8" i="8"/>
  <c r="F8" i="8"/>
  <c r="D8" i="8"/>
  <c r="B8" i="8"/>
  <c r="I7" i="8"/>
  <c r="H7" i="8"/>
  <c r="F7" i="8"/>
  <c r="D7" i="8"/>
  <c r="B7" i="8"/>
  <c r="G7" i="6"/>
  <c r="G10" i="6" s="1"/>
  <c r="D8" i="6"/>
  <c r="D7" i="6"/>
  <c r="B8" i="6"/>
  <c r="B7" i="6"/>
  <c r="E24" i="6"/>
  <c r="F22" i="6"/>
  <c r="F9" i="6"/>
  <c r="B9" i="6"/>
  <c r="I8" i="6"/>
  <c r="H8" i="6"/>
  <c r="F8" i="6"/>
  <c r="I7" i="6"/>
  <c r="H7" i="6"/>
  <c r="F7" i="6"/>
  <c r="C9" i="9" l="1"/>
  <c r="C10" i="9" s="1"/>
  <c r="B10" i="9"/>
  <c r="G10" i="12"/>
  <c r="B11" i="13"/>
  <c r="B12" i="13" s="1"/>
  <c r="B13" i="13" s="1"/>
  <c r="D9" i="9"/>
  <c r="D10" i="9" s="1"/>
  <c r="G20" i="9"/>
  <c r="G21" i="9" s="1"/>
  <c r="F9" i="9"/>
  <c r="F10" i="9" s="1"/>
  <c r="D9" i="12"/>
  <c r="D10" i="12" s="1"/>
  <c r="I10" i="12"/>
  <c r="E10" i="12"/>
  <c r="F23" i="12"/>
  <c r="F24" i="12" s="1"/>
  <c r="B10" i="12"/>
  <c r="F9" i="12"/>
  <c r="F10" i="12" s="1"/>
  <c r="C9" i="12"/>
  <c r="C10" i="12" s="1"/>
  <c r="H9" i="12"/>
  <c r="H10" i="12" s="1"/>
  <c r="I9" i="8"/>
  <c r="I10" i="8" s="1"/>
  <c r="D10" i="8"/>
  <c r="E9" i="8"/>
  <c r="E10" i="8" s="1"/>
  <c r="F23" i="8"/>
  <c r="F24" i="8" s="1"/>
  <c r="B10" i="8"/>
  <c r="F9" i="8"/>
  <c r="F10" i="8" s="1"/>
  <c r="C9" i="8"/>
  <c r="C10" i="8" s="1"/>
  <c r="H9" i="8"/>
  <c r="H10" i="8" s="1"/>
  <c r="I10" i="6"/>
  <c r="B10" i="6"/>
  <c r="C9" i="6"/>
  <c r="C10" i="6" s="1"/>
  <c r="H9" i="6"/>
  <c r="H10" i="6" s="1"/>
  <c r="F23" i="6"/>
  <c r="F24" i="6" s="1"/>
  <c r="F10" i="6"/>
  <c r="D9" i="6"/>
  <c r="I9" i="6"/>
  <c r="D10" i="6"/>
  <c r="E9" i="6"/>
  <c r="E10" i="6" s="1"/>
  <c r="B11" i="6" l="1"/>
  <c r="B12" i="6" s="1"/>
  <c r="B13" i="6" s="1"/>
  <c r="B11" i="9"/>
  <c r="B11" i="12"/>
  <c r="B11" i="8"/>
  <c r="B12" i="8" s="1"/>
  <c r="B13" i="8" s="1"/>
  <c r="B12" i="9" l="1"/>
  <c r="B13" i="9" s="1"/>
  <c r="B12" i="12"/>
  <c r="B13" i="12" s="1"/>
  <c r="E6" i="5"/>
  <c r="F21" i="5"/>
  <c r="G19" i="5"/>
  <c r="C10" i="5" s="1"/>
  <c r="F7" i="5"/>
  <c r="F6" i="5"/>
  <c r="F21" i="4"/>
  <c r="G19" i="4"/>
  <c r="G20" i="4" s="1"/>
  <c r="G21" i="4" s="1"/>
  <c r="F7" i="4"/>
  <c r="F6" i="4"/>
  <c r="F7" i="2"/>
  <c r="F6" i="2"/>
  <c r="D9" i="5" l="1"/>
  <c r="D10" i="5" s="1"/>
  <c r="C9" i="4"/>
  <c r="C10" i="4" s="1"/>
  <c r="D9" i="4"/>
  <c r="D10" i="4" s="1"/>
  <c r="B9" i="4"/>
  <c r="B10" i="4" s="1"/>
  <c r="F9" i="4"/>
  <c r="F10" i="4" s="1"/>
  <c r="E9" i="4"/>
  <c r="E10" i="4" s="1"/>
  <c r="E10" i="5"/>
  <c r="G20" i="5"/>
  <c r="G21" i="5" s="1"/>
  <c r="B9" i="5"/>
  <c r="B10" i="5" s="1"/>
  <c r="F9" i="5"/>
  <c r="F10" i="5"/>
  <c r="G7" i="2"/>
  <c r="C10" i="2"/>
  <c r="G6" i="2"/>
  <c r="G10" i="2" s="1"/>
  <c r="F10" i="2"/>
  <c r="D10" i="2"/>
  <c r="B6" i="2"/>
  <c r="B10" i="2" s="1"/>
  <c r="B11" i="5" l="1"/>
  <c r="B12" i="5" s="1"/>
  <c r="B13" i="5" s="1"/>
  <c r="B11" i="2"/>
  <c r="B11" i="4"/>
  <c r="B12" i="4" s="1"/>
  <c r="B13" i="4" s="1"/>
  <c r="B12" i="2" l="1"/>
  <c r="B13" i="2" s="1"/>
  <c r="B11" i="7" l="1"/>
  <c r="E6" i="7"/>
  <c r="B6" i="7"/>
  <c r="F21" i="7"/>
  <c r="G19" i="7"/>
  <c r="G20" i="7" s="1"/>
  <c r="G21" i="7" s="1"/>
  <c r="G10" i="7"/>
  <c r="F9" i="7"/>
  <c r="F10" i="7" s="1"/>
  <c r="E9" i="7"/>
  <c r="D9" i="7"/>
  <c r="D10" i="7" s="1"/>
  <c r="C9" i="7"/>
  <c r="C10" i="7" s="1"/>
  <c r="B9" i="7"/>
  <c r="E10" i="7"/>
  <c r="B10" i="7"/>
  <c r="B12" i="7" l="1"/>
  <c r="B13" i="7" s="1"/>
  <c r="B9" i="11" l="1"/>
  <c r="B6" i="11"/>
  <c r="F21" i="11"/>
  <c r="G19" i="11"/>
  <c r="D9" i="11" s="1"/>
  <c r="D10" i="11" s="1"/>
  <c r="G10" i="11"/>
  <c r="C7" i="11"/>
  <c r="E9" i="11" l="1"/>
  <c r="E10" i="11" s="1"/>
  <c r="F9" i="11"/>
  <c r="F10" i="11" s="1"/>
  <c r="B10" i="11"/>
  <c r="G20" i="11"/>
  <c r="G21" i="11" s="1"/>
  <c r="C9" i="11"/>
  <c r="C10" i="11" s="1"/>
  <c r="B11" i="11" l="1"/>
  <c r="B12" i="11" s="1"/>
  <c r="B13" i="11" s="1"/>
  <c r="E6" i="10" l="1"/>
  <c r="C7" i="10"/>
  <c r="C6" i="10"/>
  <c r="F21" i="10"/>
  <c r="G19" i="10"/>
  <c r="F9" i="10" s="1"/>
  <c r="F10" i="10" s="1"/>
  <c r="G10" i="10"/>
  <c r="D7" i="10"/>
  <c r="B6" i="10"/>
  <c r="B6" i="1"/>
  <c r="B6" i="3"/>
  <c r="B10" i="3" s="1"/>
  <c r="F21" i="3"/>
  <c r="G20" i="3"/>
  <c r="G19" i="3"/>
  <c r="G21" i="3" s="1"/>
  <c r="G10" i="3"/>
  <c r="F9" i="3"/>
  <c r="F10" i="3" s="1"/>
  <c r="E9" i="3"/>
  <c r="E10" i="3" s="1"/>
  <c r="D9" i="3"/>
  <c r="C9" i="3"/>
  <c r="B9" i="3"/>
  <c r="D7" i="3"/>
  <c r="D10" i="3" s="1"/>
  <c r="E6" i="3"/>
  <c r="C10" i="3"/>
  <c r="C9" i="1"/>
  <c r="D9" i="1"/>
  <c r="E9" i="1"/>
  <c r="B9" i="1"/>
  <c r="E6" i="1"/>
  <c r="D7" i="1"/>
  <c r="F21" i="1"/>
  <c r="G19" i="1"/>
  <c r="F9" i="1" s="1"/>
  <c r="G10" i="1"/>
  <c r="B9" i="10" l="1"/>
  <c r="D9" i="10"/>
  <c r="D10" i="10" s="1"/>
  <c r="G21" i="10"/>
  <c r="B10" i="10"/>
  <c r="E9" i="10"/>
  <c r="E10" i="10" s="1"/>
  <c r="G20" i="10"/>
  <c r="C9" i="10"/>
  <c r="C10" i="10" s="1"/>
  <c r="B11" i="3"/>
  <c r="D10" i="1"/>
  <c r="E10" i="1"/>
  <c r="C10" i="1"/>
  <c r="B10" i="1"/>
  <c r="F10" i="1"/>
  <c r="G20" i="1"/>
  <c r="G21" i="1" s="1"/>
  <c r="B11" i="10" l="1"/>
  <c r="B12" i="10" s="1"/>
  <c r="B13" i="10" s="1"/>
  <c r="B12" i="3"/>
  <c r="B13" i="3" s="1"/>
  <c r="B11" i="1"/>
  <c r="B12" i="1" s="1"/>
  <c r="B13" i="1" s="1"/>
</calcChain>
</file>

<file path=xl/sharedStrings.xml><?xml version="1.0" encoding="utf-8"?>
<sst xmlns="http://schemas.openxmlformats.org/spreadsheetml/2006/main" count="427" uniqueCount="73">
  <si>
    <t>өртөг \ ажлын төрөл</t>
  </si>
  <si>
    <t>Цамхаг угсралт</t>
  </si>
  <si>
    <t>Антенн фидер угсралт</t>
  </si>
  <si>
    <t>Зай тэжээл</t>
  </si>
  <si>
    <t>Тоног төхөөрөмж угсралт</t>
  </si>
  <si>
    <t>Газардуулга</t>
  </si>
  <si>
    <t xml:space="preserve">Феедер, кабель татах </t>
  </si>
  <si>
    <t>Ерөнхий шитнээс-100м</t>
  </si>
  <si>
    <t xml:space="preserve"> тоног төхөөрөмж</t>
  </si>
  <si>
    <t>Тоног төхөөрөмж газардуулга хийх</t>
  </si>
  <si>
    <t>Нийт материалын дүн</t>
  </si>
  <si>
    <t>Цалин</t>
  </si>
  <si>
    <t>Томилолт</t>
  </si>
  <si>
    <t>Тээврийн зардал</t>
  </si>
  <si>
    <t>ДҮН</t>
  </si>
  <si>
    <t>Нийт  дүн</t>
  </si>
  <si>
    <t>НӨАТ 10%</t>
  </si>
  <si>
    <t>БҮГД ДҮН</t>
  </si>
  <si>
    <t>№</t>
  </si>
  <si>
    <t>нэр</t>
  </si>
  <si>
    <t>нэгж үнэ</t>
  </si>
  <si>
    <t>Зай /км/</t>
  </si>
  <si>
    <t>Үнэ</t>
  </si>
  <si>
    <t>УЛААНБААТАР</t>
  </si>
  <si>
    <t xml:space="preserve">Ачаа тээвэрлэлт </t>
  </si>
  <si>
    <t>/2 тал/</t>
  </si>
  <si>
    <t>НӨАТ</t>
  </si>
  <si>
    <t>Нийт</t>
  </si>
  <si>
    <t>Завод Рүүфтоп 3м-3ш</t>
  </si>
  <si>
    <t>Трей-78м</t>
  </si>
  <si>
    <t>Ерөнхий шитнээс-20м</t>
  </si>
  <si>
    <t>Сансарын колонк сайтад хийж гүйцэтгэх ажлын төсөвт өртөг</t>
  </si>
  <si>
    <t>King tower сайтад хийж гүйцэтгэх ажлын төсөвт өртөг</t>
  </si>
  <si>
    <t>Трей-18м,Полсо</t>
  </si>
  <si>
    <t>Хаппи таун сайтад хийж гүйцэтгэх ажлын төсөвт өртөг</t>
  </si>
  <si>
    <t>Трей-10м</t>
  </si>
  <si>
    <t>Тахилт эцэс сайтад хийж гүйцэтгэх ажлын төсөвт өртөг</t>
  </si>
  <si>
    <t>Дамжуулах байгууламжийн угсралт</t>
  </si>
  <si>
    <t>1 hop релей</t>
  </si>
  <si>
    <t>пол хийх-/3+2/ш</t>
  </si>
  <si>
    <t>Дорнод РТВ сайтад хийж гүйцэтгэх ажлын төсөвт өртөг</t>
  </si>
  <si>
    <t>пол-3+2ш</t>
  </si>
  <si>
    <t>Төхөөрөмжийн байр</t>
  </si>
  <si>
    <t>Хашаа</t>
  </si>
  <si>
    <t>Ерөнхий газардуулга хийх</t>
  </si>
  <si>
    <t>Цахилгаан монтаж</t>
  </si>
  <si>
    <t>4 хөлт 10м</t>
  </si>
  <si>
    <t>Нийт дүн</t>
  </si>
  <si>
    <t>Тоосгон байр   /3*5/</t>
  </si>
  <si>
    <t>4 хөлт 12м</t>
  </si>
  <si>
    <t>800м</t>
  </si>
  <si>
    <t>Ургах наран цаана шинэ сайтыг хийж гүйцэтгэх ажлын төсөвт өртөг</t>
  </si>
  <si>
    <t>Алтан-Өлгий Эрдэнэтолгой шинэ сайтыг хийж гүйцэтгэх ажлын төсөвт өртөг</t>
  </si>
  <si>
    <t>350м</t>
  </si>
  <si>
    <t>Шархад Нарийний ферм шинэ сайтыг хийж гүйцэтгэх ажлын төсөвт өртөг</t>
  </si>
  <si>
    <t>Шелтер суурилуулах</t>
  </si>
  <si>
    <t>30м</t>
  </si>
  <si>
    <t>15м цамхаг</t>
  </si>
  <si>
    <t>-</t>
  </si>
  <si>
    <t>Дорнод аймаг станцын хойд гэр хороолол шинэ сайтыг хийж гүйцэтгэх ажлын төсөвт өртөг</t>
  </si>
  <si>
    <t>Сэндвичэн байр  /3*5/</t>
  </si>
  <si>
    <t>12м цамхаг</t>
  </si>
  <si>
    <t>150м-380В</t>
  </si>
  <si>
    <t>Р=32м</t>
  </si>
  <si>
    <t>Зүүн гэр хороолол шинэ сайтыг хийж гүйцэтгэх ажлын төсөвт өртөг</t>
  </si>
  <si>
    <t>450м-380В</t>
  </si>
  <si>
    <t>650м-380В</t>
  </si>
  <si>
    <t>Богины ам шинэ сайтыг хийж гүйцэтгэх ажлын төсөвт өртөг</t>
  </si>
  <si>
    <t>Төв аймаг зам дагуу шинэ сайтыг хийж гүйцэтгэх ажлын төсөвт өртөг</t>
  </si>
  <si>
    <t>1700м-380В</t>
  </si>
  <si>
    <t>Тоосгон байр  /3*5/</t>
  </si>
  <si>
    <t>Хэнтий аймаг Баруун хойд гэр хороолол шинэ сайтыг хийж гүйцэтгэх ажлын төсөвт өртөг</t>
  </si>
  <si>
    <t>35м-380В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</si>
</sst>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2" borderId="3" xfId="0" applyFont="1" applyFill="1" applyBorder="1"/>
    <xf numFmtId="3" fontId="9" fillId="2" borderId="2" xfId="0" applyNumberFormat="1" applyFont="1" applyFill="1" applyBorder="1" applyAlignment="1"/>
    <xf numFmtId="3" fontId="9" fillId="2" borderId="2" xfId="0" applyNumberFormat="1" applyFont="1" applyFill="1" applyBorder="1" applyAlignment="1">
      <alignment horizontal="right"/>
    </xf>
    <xf numFmtId="0" fontId="9" fillId="0" borderId="2" xfId="0" applyFont="1" applyBorder="1"/>
    <xf numFmtId="3" fontId="9" fillId="0" borderId="6" xfId="0" applyNumberFormat="1" applyFont="1" applyBorder="1" applyAlignment="1"/>
    <xf numFmtId="3" fontId="10" fillId="2" borderId="6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10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0" fontId="11" fillId="3" borderId="2" xfId="0" applyFont="1" applyFill="1" applyBorder="1"/>
    <xf numFmtId="3" fontId="11" fillId="3" borderId="2" xfId="0" applyNumberFormat="1" applyFont="1" applyFill="1" applyBorder="1"/>
    <xf numFmtId="3" fontId="11" fillId="3" borderId="2" xfId="0" applyNumberFormat="1" applyFont="1" applyFill="1" applyBorder="1" applyAlignment="1"/>
    <xf numFmtId="0" fontId="11" fillId="4" borderId="2" xfId="0" applyFont="1" applyFill="1" applyBorder="1"/>
    <xf numFmtId="0" fontId="5" fillId="0" borderId="2" xfId="0" applyFont="1" applyBorder="1"/>
    <xf numFmtId="0" fontId="5" fillId="5" borderId="2" xfId="0" applyFont="1" applyFill="1" applyBorder="1"/>
    <xf numFmtId="0" fontId="12" fillId="0" borderId="0" xfId="0" applyFont="1" applyAlignment="1"/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3" borderId="8" xfId="0" applyFont="1" applyFill="1" applyBorder="1"/>
    <xf numFmtId="0" fontId="13" fillId="3" borderId="8" xfId="0" applyFont="1" applyFill="1" applyBorder="1"/>
    <xf numFmtId="0" fontId="11" fillId="3" borderId="8" xfId="0" applyFont="1" applyFill="1" applyBorder="1" applyAlignment="1">
      <alignment horizontal="center"/>
    </xf>
    <xf numFmtId="0" fontId="0" fillId="3" borderId="0" xfId="0" applyFill="1"/>
    <xf numFmtId="43" fontId="11" fillId="3" borderId="8" xfId="1" applyFont="1" applyFill="1" applyBorder="1" applyAlignment="1">
      <alignment horizontal="center"/>
    </xf>
    <xf numFmtId="0" fontId="11" fillId="2" borderId="8" xfId="0" applyFont="1" applyFill="1" applyBorder="1"/>
    <xf numFmtId="0" fontId="11" fillId="2" borderId="9" xfId="0" applyFont="1" applyFill="1" applyBorder="1"/>
    <xf numFmtId="0" fontId="14" fillId="2" borderId="9" xfId="0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164" fontId="11" fillId="2" borderId="8" xfId="1" applyNumberFormat="1" applyFont="1" applyFill="1" applyBorder="1" applyAlignment="1">
      <alignment vertical="center"/>
    </xf>
    <xf numFmtId="0" fontId="11" fillId="5" borderId="8" xfId="0" applyFont="1" applyFill="1" applyBorder="1"/>
    <xf numFmtId="0" fontId="14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164" fontId="11" fillId="5" borderId="8" xfId="1" applyNumberFormat="1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/>
    </xf>
    <xf numFmtId="3" fontId="3" fillId="6" borderId="2" xfId="0" applyNumberFormat="1" applyFont="1" applyFill="1" applyBorder="1" applyAlignment="1"/>
    <xf numFmtId="3" fontId="3" fillId="0" borderId="6" xfId="0" applyNumberFormat="1" applyFont="1" applyBorder="1" applyAlignment="1"/>
    <xf numFmtId="3" fontId="3" fillId="0" borderId="2" xfId="0" applyNumberFormat="1" applyFont="1" applyBorder="1" applyAlignment="1"/>
    <xf numFmtId="0" fontId="4" fillId="0" borderId="3" xfId="0" applyFont="1" applyBorder="1" applyAlignment="1">
      <alignment vertical="center" wrapText="1"/>
    </xf>
    <xf numFmtId="3" fontId="9" fillId="0" borderId="2" xfId="0" applyNumberFormat="1" applyFont="1" applyBorder="1" applyAlignment="1"/>
    <xf numFmtId="0" fontId="1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2" borderId="2" xfId="0" applyFont="1" applyFill="1" applyBorder="1"/>
    <xf numFmtId="3" fontId="11" fillId="2" borderId="2" xfId="0" applyNumberFormat="1" applyFont="1" applyFill="1" applyBorder="1" applyAlignment="1"/>
    <xf numFmtId="0" fontId="11" fillId="0" borderId="2" xfId="0" applyFont="1" applyBorder="1"/>
    <xf numFmtId="3" fontId="11" fillId="0" borderId="2" xfId="0" applyNumberFormat="1" applyFont="1" applyBorder="1" applyAlignment="1"/>
    <xf numFmtId="0" fontId="13" fillId="0" borderId="2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11" fillId="4" borderId="7" xfId="0" applyNumberFormat="1" applyFont="1" applyFill="1" applyBorder="1" applyAlignment="1">
      <alignment horizontal="center"/>
    </xf>
    <xf numFmtId="3" fontId="11" fillId="4" borderId="4" xfId="0" applyNumberFormat="1" applyFont="1" applyFill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3" fontId="11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3" fontId="11" fillId="4" borderId="3" xfId="0" applyNumberFormat="1" applyFont="1" applyFill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5" borderId="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drah%20doc\company\sharelink%20LLC\Unitel\uniin%20sanal\20150626%20UB.tender\une\UB%20new\Uni.5-Khailaast%20dood-toosgo%20tower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gtgel"/>
      <sheetName val="tusuv"/>
      <sheetName val="material"/>
      <sheetName val="teever"/>
    </sheetNames>
    <sheetDataSet>
      <sheetData sheetId="0"/>
      <sheetData sheetId="1"/>
      <sheetData sheetId="2">
        <row r="4">
          <cell r="F4">
            <v>2550000</v>
          </cell>
        </row>
        <row r="5">
          <cell r="F5">
            <v>216000</v>
          </cell>
        </row>
        <row r="6">
          <cell r="F6">
            <v>150000</v>
          </cell>
        </row>
        <row r="7">
          <cell r="F7">
            <v>680000</v>
          </cell>
        </row>
        <row r="8">
          <cell r="F8">
            <v>680000</v>
          </cell>
        </row>
        <row r="9">
          <cell r="F9">
            <v>280000</v>
          </cell>
        </row>
        <row r="10">
          <cell r="F10">
            <v>300000</v>
          </cell>
        </row>
        <row r="11">
          <cell r="F11">
            <v>1000000</v>
          </cell>
        </row>
        <row r="12">
          <cell r="F12">
            <v>336000</v>
          </cell>
        </row>
        <row r="13">
          <cell r="F13">
            <v>200000</v>
          </cell>
        </row>
        <row r="14">
          <cell r="F14">
            <v>2400000</v>
          </cell>
        </row>
        <row r="15">
          <cell r="F15">
            <v>240000</v>
          </cell>
        </row>
        <row r="16">
          <cell r="F16">
            <v>300000</v>
          </cell>
        </row>
        <row r="17">
          <cell r="F17">
            <v>1600000</v>
          </cell>
        </row>
        <row r="18">
          <cell r="F18">
            <v>300000</v>
          </cell>
        </row>
        <row r="19">
          <cell r="F19">
            <v>35000</v>
          </cell>
        </row>
        <row r="20">
          <cell r="F20">
            <v>90000</v>
          </cell>
        </row>
        <row r="21">
          <cell r="F21">
            <v>50000</v>
          </cell>
        </row>
        <row r="22">
          <cell r="F22">
            <v>10000</v>
          </cell>
        </row>
        <row r="23">
          <cell r="F23">
            <v>300000</v>
          </cell>
        </row>
        <row r="24">
          <cell r="F24">
            <v>20000</v>
          </cell>
        </row>
        <row r="25">
          <cell r="F25">
            <v>5000</v>
          </cell>
        </row>
        <row r="26">
          <cell r="F26">
            <v>15000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:G13"/>
    </sheetView>
  </sheetViews>
  <sheetFormatPr defaultRowHeight="15" x14ac:dyDescent="0.25"/>
  <cols>
    <col min="1" max="1" width="21" customWidth="1"/>
    <col min="2" max="3" width="19.5703125" customWidth="1"/>
    <col min="4" max="6" width="15.5703125" customWidth="1"/>
    <col min="7" max="7" width="16.5703125" customWidth="1"/>
  </cols>
  <sheetData>
    <row r="1" spans="1:7" x14ac:dyDescent="0.25">
      <c r="A1" s="67" t="s">
        <v>31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1</v>
      </c>
      <c r="C4" s="70" t="s">
        <v>2</v>
      </c>
      <c r="D4" s="71"/>
      <c r="E4" s="1" t="s">
        <v>3</v>
      </c>
      <c r="F4" s="1" t="s">
        <v>4</v>
      </c>
      <c r="G4" s="2" t="s">
        <v>5</v>
      </c>
    </row>
    <row r="5" spans="1:7" ht="26.25" thickBot="1" x14ac:dyDescent="0.3">
      <c r="A5" s="69"/>
      <c r="B5" s="3" t="s">
        <v>28</v>
      </c>
      <c r="C5" s="3" t="s">
        <v>29</v>
      </c>
      <c r="D5" s="4" t="s">
        <v>6</v>
      </c>
      <c r="E5" s="4" t="s">
        <v>30</v>
      </c>
      <c r="F5" s="5" t="s">
        <v>8</v>
      </c>
      <c r="G5" s="6" t="s">
        <v>9</v>
      </c>
    </row>
    <row r="6" spans="1:7" ht="15.75" thickBot="1" x14ac:dyDescent="0.3">
      <c r="A6" s="7" t="s">
        <v>10</v>
      </c>
      <c r="B6" s="8">
        <f>840000*3</f>
        <v>2520000</v>
      </c>
      <c r="C6" s="8">
        <f>216*4000+60000</f>
        <v>924000</v>
      </c>
      <c r="D6" s="9">
        <v>80000</v>
      </c>
      <c r="E6" s="9">
        <f>1060000+20*12000</f>
        <v>1300000</v>
      </c>
      <c r="F6" s="8">
        <v>50000</v>
      </c>
      <c r="G6" s="8"/>
    </row>
    <row r="7" spans="1:7" ht="15.75" thickBot="1" x14ac:dyDescent="0.3">
      <c r="A7" s="10" t="s">
        <v>11</v>
      </c>
      <c r="B7" s="11">
        <v>720000</v>
      </c>
      <c r="C7" s="11">
        <f>10000*78</f>
        <v>780000</v>
      </c>
      <c r="D7" s="12">
        <f>40000*2.25*3</f>
        <v>270000</v>
      </c>
      <c r="E7" s="12">
        <v>200000</v>
      </c>
      <c r="F7" s="13">
        <v>480000</v>
      </c>
      <c r="G7" s="14">
        <v>60000</v>
      </c>
    </row>
    <row r="8" spans="1:7" ht="15.75" thickBot="1" x14ac:dyDescent="0.3">
      <c r="A8" s="10" t="s">
        <v>12</v>
      </c>
      <c r="B8" s="11"/>
      <c r="C8" s="11"/>
      <c r="D8" s="15"/>
      <c r="E8" s="12"/>
      <c r="F8" s="13"/>
      <c r="G8" s="13"/>
    </row>
    <row r="9" spans="1:7" ht="15.75" thickBot="1" x14ac:dyDescent="0.3">
      <c r="A9" s="10" t="s">
        <v>13</v>
      </c>
      <c r="B9" s="8">
        <f>G19*0.4</f>
        <v>57600</v>
      </c>
      <c r="C9" s="8">
        <f>G19*0.1</f>
        <v>14400</v>
      </c>
      <c r="D9" s="8">
        <f>G19*0.1</f>
        <v>14400</v>
      </c>
      <c r="E9" s="8">
        <f>G19*0.1</f>
        <v>14400</v>
      </c>
      <c r="F9" s="8">
        <f>G19*0.3</f>
        <v>43200</v>
      </c>
      <c r="G9" s="16"/>
    </row>
    <row r="10" spans="1:7" ht="15.75" thickBot="1" x14ac:dyDescent="0.3">
      <c r="A10" s="17" t="s">
        <v>14</v>
      </c>
      <c r="B10" s="19">
        <f t="shared" ref="B10:D10" si="0">SUM(B6:B9)</f>
        <v>3297600</v>
      </c>
      <c r="C10" s="19">
        <f>SUM(C6:C9)</f>
        <v>1718400</v>
      </c>
      <c r="D10" s="19">
        <f t="shared" si="0"/>
        <v>364400</v>
      </c>
      <c r="E10" s="19">
        <f>SUM(E6:E9)</f>
        <v>1514400</v>
      </c>
      <c r="F10" s="18">
        <f>SUM(F6:F9)</f>
        <v>573200</v>
      </c>
      <c r="G10" s="19">
        <f>G7+G8+G9+G6</f>
        <v>60000</v>
      </c>
    </row>
    <row r="11" spans="1:7" ht="15.75" thickBot="1" x14ac:dyDescent="0.3">
      <c r="A11" s="20" t="s">
        <v>15</v>
      </c>
      <c r="B11" s="72">
        <f>B10+C10+D10+E10+F10+G10</f>
        <v>7528000</v>
      </c>
      <c r="C11" s="72"/>
      <c r="D11" s="72"/>
      <c r="E11" s="72"/>
      <c r="F11" s="72"/>
      <c r="G11" s="73"/>
    </row>
    <row r="12" spans="1:7" ht="15.75" thickBot="1" x14ac:dyDescent="0.3">
      <c r="A12" s="21" t="s">
        <v>16</v>
      </c>
      <c r="B12" s="74">
        <f>B11*0.1</f>
        <v>752800</v>
      </c>
      <c r="C12" s="74"/>
      <c r="D12" s="74"/>
      <c r="E12" s="74"/>
      <c r="F12" s="74"/>
      <c r="G12" s="75"/>
    </row>
    <row r="13" spans="1:7" ht="15.75" thickBot="1" x14ac:dyDescent="0.3">
      <c r="A13" s="22" t="s">
        <v>17</v>
      </c>
      <c r="B13" s="76">
        <f>B11+B12</f>
        <v>8280800</v>
      </c>
      <c r="C13" s="76"/>
      <c r="D13" s="76"/>
      <c r="E13" s="76"/>
      <c r="F13" s="76"/>
      <c r="G13" s="77"/>
    </row>
    <row r="16" spans="1:7" ht="18.75" x14ac:dyDescent="0.3">
      <c r="B16" s="23"/>
      <c r="C16" s="23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1200</v>
      </c>
      <c r="F19" s="24">
        <v>120</v>
      </c>
      <c r="G19" s="38">
        <f t="shared" ref="G19" si="1">E19*F19</f>
        <v>144000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14400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120</v>
      </c>
      <c r="G21" s="42">
        <f>G19+G20</f>
        <v>158400</v>
      </c>
    </row>
  </sheetData>
  <mergeCells count="8">
    <mergeCell ref="B20:F20"/>
    <mergeCell ref="B21:D21"/>
    <mergeCell ref="A1:G3"/>
    <mergeCell ref="A4:A5"/>
    <mergeCell ref="C4:D4"/>
    <mergeCell ref="B11:G11"/>
    <mergeCell ref="B12:G12"/>
    <mergeCell ref="B13:G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11" sqref="G11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4" customWidth="1"/>
    <col min="6" max="6" width="17.85546875" customWidth="1"/>
    <col min="7" max="7" width="17" customWidth="1"/>
  </cols>
  <sheetData>
    <row r="1" spans="1:6" x14ac:dyDescent="0.25">
      <c r="A1" s="67" t="s">
        <v>67</v>
      </c>
      <c r="B1" s="67"/>
      <c r="C1" s="67"/>
      <c r="D1" s="67"/>
      <c r="E1" s="67"/>
      <c r="F1" s="67"/>
    </row>
    <row r="2" spans="1:6" x14ac:dyDescent="0.25">
      <c r="A2" s="67"/>
      <c r="B2" s="67"/>
      <c r="C2" s="67"/>
      <c r="D2" s="67"/>
      <c r="E2" s="67"/>
      <c r="F2" s="67"/>
    </row>
    <row r="3" spans="1:6" ht="15.75" thickBot="1" x14ac:dyDescent="0.3">
      <c r="A3" s="68"/>
      <c r="B3" s="68"/>
      <c r="C3" s="68"/>
      <c r="D3" s="68"/>
      <c r="E3" s="68"/>
      <c r="F3" s="68"/>
    </row>
    <row r="4" spans="1:6" ht="26.25" thickBot="1" x14ac:dyDescent="0.3">
      <c r="A4" s="69" t="s">
        <v>0</v>
      </c>
      <c r="B4" s="1" t="s">
        <v>42</v>
      </c>
      <c r="C4" s="1" t="s">
        <v>1</v>
      </c>
      <c r="D4" s="1" t="s">
        <v>43</v>
      </c>
      <c r="E4" s="50" t="s">
        <v>3</v>
      </c>
      <c r="F4" s="2" t="s">
        <v>5</v>
      </c>
    </row>
    <row r="5" spans="1:6" ht="26.25" thickBot="1" x14ac:dyDescent="0.3">
      <c r="A5" s="69"/>
      <c r="B5" s="51" t="s">
        <v>70</v>
      </c>
      <c r="C5" s="52" t="s">
        <v>46</v>
      </c>
      <c r="D5" s="51" t="s">
        <v>63</v>
      </c>
      <c r="E5" s="53" t="s">
        <v>66</v>
      </c>
      <c r="F5" s="52" t="s">
        <v>44</v>
      </c>
    </row>
    <row r="6" spans="1:6" ht="15.75" thickBot="1" x14ac:dyDescent="0.3">
      <c r="A6" s="54" t="s">
        <v>10</v>
      </c>
      <c r="B6" s="55">
        <v>11757000</v>
      </c>
      <c r="C6" s="55">
        <v>9235900</v>
      </c>
      <c r="D6" s="55">
        <v>1840000</v>
      </c>
      <c r="E6" s="55">
        <f>12*280000+650*5000+1060000</f>
        <v>7670000</v>
      </c>
      <c r="F6" s="55">
        <f>220000</f>
        <v>220000</v>
      </c>
    </row>
    <row r="7" spans="1:6" ht="15.75" thickBot="1" x14ac:dyDescent="0.3">
      <c r="A7" s="10" t="s">
        <v>11</v>
      </c>
      <c r="B7" s="49">
        <v>8400000</v>
      </c>
      <c r="C7" s="49">
        <v>8400000</v>
      </c>
      <c r="D7" s="49">
        <f>40000*33/2*3</f>
        <v>1980000</v>
      </c>
      <c r="E7" s="49">
        <v>7200000</v>
      </c>
      <c r="F7" s="13">
        <f>480000</f>
        <v>480000</v>
      </c>
    </row>
    <row r="8" spans="1:6" ht="15.75" thickBot="1" x14ac:dyDescent="0.3">
      <c r="A8" s="10" t="s">
        <v>12</v>
      </c>
      <c r="B8" s="49"/>
      <c r="C8" s="49"/>
      <c r="D8" s="49"/>
      <c r="E8" s="49"/>
      <c r="F8" s="13"/>
    </row>
    <row r="9" spans="1:6" ht="15.75" thickBot="1" x14ac:dyDescent="0.3">
      <c r="A9" s="10" t="s">
        <v>13</v>
      </c>
      <c r="B9" s="49">
        <f>G19*0.3</f>
        <v>1536000</v>
      </c>
      <c r="C9" s="49">
        <f>G19*0.2</f>
        <v>1024000</v>
      </c>
      <c r="D9" s="49">
        <f>G19*0.05</f>
        <v>256000</v>
      </c>
      <c r="E9" s="49">
        <f>G19*0.4</f>
        <v>2048000</v>
      </c>
      <c r="F9" s="13">
        <f>G19*0.05</f>
        <v>256000</v>
      </c>
    </row>
    <row r="10" spans="1:6" ht="15.75" thickBot="1" x14ac:dyDescent="0.3">
      <c r="A10" s="56" t="s">
        <v>14</v>
      </c>
      <c r="B10" s="57">
        <f>SUM(B6:B9)</f>
        <v>21693000</v>
      </c>
      <c r="C10" s="57">
        <f>SUM(C6:C9)</f>
        <v>18659900</v>
      </c>
      <c r="D10" s="57">
        <f>SUM(D6:D9)</f>
        <v>4076000</v>
      </c>
      <c r="E10" s="57">
        <f>SUM(E6:E9)</f>
        <v>16918000</v>
      </c>
      <c r="F10" s="57">
        <f>SUM(F6:F9)</f>
        <v>956000</v>
      </c>
    </row>
    <row r="11" spans="1:6" ht="15.75" thickBot="1" x14ac:dyDescent="0.3">
      <c r="A11" s="21" t="s">
        <v>47</v>
      </c>
      <c r="B11" s="78">
        <f>B10+C10+D10+E10+F10</f>
        <v>62302900</v>
      </c>
      <c r="C11" s="78"/>
      <c r="D11" s="78"/>
      <c r="E11" s="78"/>
      <c r="F11" s="78"/>
    </row>
    <row r="12" spans="1:6" ht="15.75" thickBot="1" x14ac:dyDescent="0.3">
      <c r="A12" s="21" t="s">
        <v>16</v>
      </c>
      <c r="B12" s="79">
        <f>B11*0.1</f>
        <v>6230290</v>
      </c>
      <c r="C12" s="79"/>
      <c r="D12" s="79"/>
      <c r="E12" s="79"/>
      <c r="F12" s="79"/>
    </row>
    <row r="13" spans="1:6" ht="15.75" thickBot="1" x14ac:dyDescent="0.3">
      <c r="A13" s="22" t="s">
        <v>17</v>
      </c>
      <c r="B13" s="80">
        <f>B11+B12</f>
        <v>68533190</v>
      </c>
      <c r="C13" s="80"/>
      <c r="D13" s="80"/>
      <c r="E13" s="80"/>
      <c r="F13" s="80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3200</v>
      </c>
      <c r="F19" s="24">
        <v>1600</v>
      </c>
      <c r="G19" s="38">
        <f t="shared" ref="G19" si="0">E19*F19</f>
        <v>5120000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512000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1600</v>
      </c>
      <c r="G21" s="42">
        <f>G19+G20</f>
        <v>5632000</v>
      </c>
    </row>
  </sheetData>
  <mergeCells count="7">
    <mergeCell ref="B20:F20"/>
    <mergeCell ref="B21:D21"/>
    <mergeCell ref="A1:F3"/>
    <mergeCell ref="B11:F11"/>
    <mergeCell ref="B12:F12"/>
    <mergeCell ref="B13:F13"/>
    <mergeCell ref="A4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23" sqref="H23"/>
    </sheetView>
  </sheetViews>
  <sheetFormatPr defaultRowHeight="15" x14ac:dyDescent="0.25"/>
  <cols>
    <col min="1" max="1" width="21" customWidth="1"/>
    <col min="2" max="3" width="19.5703125" customWidth="1"/>
    <col min="4" max="6" width="15.5703125" customWidth="1"/>
    <col min="7" max="7" width="16.5703125" customWidth="1"/>
  </cols>
  <sheetData>
    <row r="1" spans="1:7" x14ac:dyDescent="0.25">
      <c r="A1" s="67" t="s">
        <v>34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1</v>
      </c>
      <c r="C4" s="70" t="s">
        <v>2</v>
      </c>
      <c r="D4" s="71"/>
      <c r="E4" s="1" t="s">
        <v>3</v>
      </c>
      <c r="F4" s="1" t="s">
        <v>4</v>
      </c>
      <c r="G4" s="2" t="s">
        <v>5</v>
      </c>
    </row>
    <row r="5" spans="1:7" ht="26.25" thickBot="1" x14ac:dyDescent="0.3">
      <c r="A5" s="69"/>
      <c r="B5" s="3" t="s">
        <v>28</v>
      </c>
      <c r="C5" s="3" t="s">
        <v>35</v>
      </c>
      <c r="D5" s="4" t="s">
        <v>6</v>
      </c>
      <c r="E5" s="4" t="s">
        <v>7</v>
      </c>
      <c r="F5" s="5" t="s">
        <v>8</v>
      </c>
      <c r="G5" s="6" t="s">
        <v>9</v>
      </c>
    </row>
    <row r="6" spans="1:7" ht="15.75" thickBot="1" x14ac:dyDescent="0.3">
      <c r="A6" s="7" t="s">
        <v>10</v>
      </c>
      <c r="B6" s="8">
        <f>840000*3</f>
        <v>2520000</v>
      </c>
      <c r="C6" s="8">
        <f>30*3500</f>
        <v>105000</v>
      </c>
      <c r="D6" s="9">
        <v>80000</v>
      </c>
      <c r="E6" s="9">
        <f>1060000+100*5000+360000</f>
        <v>1920000</v>
      </c>
      <c r="F6" s="8">
        <v>50000</v>
      </c>
      <c r="G6" s="8"/>
    </row>
    <row r="7" spans="1:7" ht="15.75" thickBot="1" x14ac:dyDescent="0.3">
      <c r="A7" s="10" t="s">
        <v>11</v>
      </c>
      <c r="B7" s="11">
        <v>360000</v>
      </c>
      <c r="C7" s="11">
        <f>8000*10</f>
        <v>80000</v>
      </c>
      <c r="D7" s="12">
        <f>40000*2.25*3</f>
        <v>270000</v>
      </c>
      <c r="E7" s="12">
        <v>960000</v>
      </c>
      <c r="F7" s="13">
        <v>480000</v>
      </c>
      <c r="G7" s="14">
        <v>60000</v>
      </c>
    </row>
    <row r="8" spans="1:7" ht="15.75" thickBot="1" x14ac:dyDescent="0.3">
      <c r="A8" s="10" t="s">
        <v>12</v>
      </c>
      <c r="B8" s="11"/>
      <c r="C8" s="11"/>
      <c r="D8" s="15"/>
      <c r="E8" s="12"/>
      <c r="F8" s="13"/>
      <c r="G8" s="13"/>
    </row>
    <row r="9" spans="1:7" ht="15.75" thickBot="1" x14ac:dyDescent="0.3">
      <c r="A9" s="10" t="s">
        <v>13</v>
      </c>
      <c r="B9" s="8">
        <f>G19*0.4</f>
        <v>72000</v>
      </c>
      <c r="C9" s="8">
        <f>G19*0.1</f>
        <v>18000</v>
      </c>
      <c r="D9" s="8">
        <f>G19*0.1</f>
        <v>18000</v>
      </c>
      <c r="E9" s="8">
        <f>G19*0.1</f>
        <v>18000</v>
      </c>
      <c r="F9" s="8">
        <f>G19*0.3</f>
        <v>54000</v>
      </c>
      <c r="G9" s="16"/>
    </row>
    <row r="10" spans="1:7" ht="15.75" thickBot="1" x14ac:dyDescent="0.3">
      <c r="A10" s="17" t="s">
        <v>14</v>
      </c>
      <c r="B10" s="19">
        <f t="shared" ref="B10:D10" si="0">SUM(B6:B9)</f>
        <v>2952000</v>
      </c>
      <c r="C10" s="19">
        <f>SUM(C6:C9)</f>
        <v>203000</v>
      </c>
      <c r="D10" s="19">
        <f t="shared" si="0"/>
        <v>368000</v>
      </c>
      <c r="E10" s="19">
        <f>SUM(E6:E9)</f>
        <v>2898000</v>
      </c>
      <c r="F10" s="18">
        <f>SUM(F6:F9)</f>
        <v>584000</v>
      </c>
      <c r="G10" s="19">
        <f>G7+G8+G9+G6</f>
        <v>60000</v>
      </c>
    </row>
    <row r="11" spans="1:7" ht="15.75" thickBot="1" x14ac:dyDescent="0.3">
      <c r="A11" s="20" t="s">
        <v>15</v>
      </c>
      <c r="B11" s="72">
        <f>B10+C10+D10+E10+F10+G10</f>
        <v>7065000</v>
      </c>
      <c r="C11" s="72"/>
      <c r="D11" s="72"/>
      <c r="E11" s="72"/>
      <c r="F11" s="72"/>
      <c r="G11" s="73"/>
    </row>
    <row r="12" spans="1:7" ht="15.75" thickBot="1" x14ac:dyDescent="0.3">
      <c r="A12" s="21" t="s">
        <v>16</v>
      </c>
      <c r="B12" s="74">
        <f>B11*0.1</f>
        <v>706500</v>
      </c>
      <c r="C12" s="74"/>
      <c r="D12" s="74"/>
      <c r="E12" s="74"/>
      <c r="F12" s="74"/>
      <c r="G12" s="75"/>
    </row>
    <row r="13" spans="1:7" ht="15.75" thickBot="1" x14ac:dyDescent="0.3">
      <c r="A13" s="22" t="s">
        <v>17</v>
      </c>
      <c r="B13" s="76">
        <f>B11+B12</f>
        <v>7771500</v>
      </c>
      <c r="C13" s="76"/>
      <c r="D13" s="76"/>
      <c r="E13" s="76"/>
      <c r="F13" s="76"/>
      <c r="G13" s="77"/>
    </row>
    <row r="16" spans="1:7" ht="18.75" x14ac:dyDescent="0.3">
      <c r="B16" s="23"/>
      <c r="C16" s="23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1200</v>
      </c>
      <c r="F19" s="24">
        <v>150</v>
      </c>
      <c r="G19" s="38">
        <f t="shared" ref="G19" si="1">E19*F19</f>
        <v>180000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18000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150</v>
      </c>
      <c r="G21" s="42">
        <f>G19+G20</f>
        <v>198000</v>
      </c>
    </row>
  </sheetData>
  <mergeCells count="8">
    <mergeCell ref="B20:F20"/>
    <mergeCell ref="B21:D21"/>
    <mergeCell ref="A1:G3"/>
    <mergeCell ref="A4:A5"/>
    <mergeCell ref="C4:D4"/>
    <mergeCell ref="B11:G11"/>
    <mergeCell ref="B12:G12"/>
    <mergeCell ref="B13:G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7" sqref="K7"/>
    </sheetView>
  </sheetViews>
  <sheetFormatPr defaultRowHeight="15" x14ac:dyDescent="0.25"/>
  <cols>
    <col min="1" max="1" width="21" customWidth="1"/>
    <col min="2" max="2" width="18" customWidth="1"/>
    <col min="3" max="6" width="15.5703125" customWidth="1"/>
    <col min="7" max="7" width="16.5703125" customWidth="1"/>
  </cols>
  <sheetData>
    <row r="1" spans="1:7" x14ac:dyDescent="0.25">
      <c r="A1" s="67" t="s">
        <v>36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1</v>
      </c>
      <c r="C4" s="48" t="s">
        <v>2</v>
      </c>
      <c r="D4" s="43" t="s">
        <v>37</v>
      </c>
      <c r="E4" s="1" t="s">
        <v>3</v>
      </c>
      <c r="F4" s="1" t="s">
        <v>4</v>
      </c>
      <c r="G4" s="2" t="s">
        <v>5</v>
      </c>
    </row>
    <row r="5" spans="1:7" ht="26.25" thickBot="1" x14ac:dyDescent="0.3">
      <c r="A5" s="69"/>
      <c r="B5" s="3" t="s">
        <v>39</v>
      </c>
      <c r="C5" s="4" t="s">
        <v>6</v>
      </c>
      <c r="D5" s="3" t="s">
        <v>38</v>
      </c>
      <c r="E5" s="4" t="s">
        <v>30</v>
      </c>
      <c r="F5" s="5" t="s">
        <v>8</v>
      </c>
      <c r="G5" s="6" t="s">
        <v>9</v>
      </c>
    </row>
    <row r="6" spans="1:7" ht="15.75" thickBot="1" x14ac:dyDescent="0.3">
      <c r="A6" s="7" t="s">
        <v>10</v>
      </c>
      <c r="B6" s="8">
        <f>240000+80000</f>
        <v>320000</v>
      </c>
      <c r="C6" s="9">
        <v>80000</v>
      </c>
      <c r="D6" s="45"/>
      <c r="E6" s="9">
        <f>1060000+20*5000</f>
        <v>1160000</v>
      </c>
      <c r="F6" s="8">
        <v>50000</v>
      </c>
      <c r="G6" s="8"/>
    </row>
    <row r="7" spans="1:7" ht="15.75" thickBot="1" x14ac:dyDescent="0.3">
      <c r="A7" s="10" t="s">
        <v>11</v>
      </c>
      <c r="B7" s="11">
        <v>200000</v>
      </c>
      <c r="C7" s="12">
        <f>40000*2.25*2</f>
        <v>180000</v>
      </c>
      <c r="D7" s="46">
        <v>240000</v>
      </c>
      <c r="E7" s="12">
        <v>80000</v>
      </c>
      <c r="F7" s="13">
        <v>480000</v>
      </c>
      <c r="G7" s="14">
        <v>40000</v>
      </c>
    </row>
    <row r="8" spans="1:7" ht="15.75" thickBot="1" x14ac:dyDescent="0.3">
      <c r="A8" s="10" t="s">
        <v>12</v>
      </c>
      <c r="B8" s="11"/>
      <c r="C8" s="15"/>
      <c r="D8" s="47"/>
      <c r="E8" s="12"/>
      <c r="F8" s="13"/>
      <c r="G8" s="13"/>
    </row>
    <row r="9" spans="1:7" ht="15.75" thickBot="1" x14ac:dyDescent="0.3">
      <c r="A9" s="10" t="s">
        <v>13</v>
      </c>
      <c r="B9" s="8">
        <f>G19*0.2</f>
        <v>36000</v>
      </c>
      <c r="C9" s="8">
        <f>G19*0.2</f>
        <v>36000</v>
      </c>
      <c r="D9" s="8">
        <f>G19*0.2</f>
        <v>36000</v>
      </c>
      <c r="E9" s="8">
        <f>G19*0.2</f>
        <v>36000</v>
      </c>
      <c r="F9" s="8">
        <f>G19*0.3</f>
        <v>54000</v>
      </c>
      <c r="G9" s="16"/>
    </row>
    <row r="10" spans="1:7" ht="15.75" thickBot="1" x14ac:dyDescent="0.3">
      <c r="A10" s="17" t="s">
        <v>14</v>
      </c>
      <c r="B10" s="19">
        <f t="shared" ref="B10:C10" si="0">SUM(B6:B9)</f>
        <v>556000</v>
      </c>
      <c r="C10" s="19">
        <f t="shared" si="0"/>
        <v>296000</v>
      </c>
      <c r="D10" s="19">
        <f>SUM(D6:D9)</f>
        <v>276000</v>
      </c>
      <c r="E10" s="19">
        <f>SUM(E6:E9)</f>
        <v>1276000</v>
      </c>
      <c r="F10" s="18">
        <f>SUM(F6:F9)</f>
        <v>584000</v>
      </c>
      <c r="G10" s="19">
        <f>G7+G8+G9+G6</f>
        <v>40000</v>
      </c>
    </row>
    <row r="11" spans="1:7" ht="15.75" thickBot="1" x14ac:dyDescent="0.3">
      <c r="A11" s="20" t="s">
        <v>15</v>
      </c>
      <c r="B11" s="72">
        <f>B10+C10+E10+F10+G10</f>
        <v>2752000</v>
      </c>
      <c r="C11" s="72"/>
      <c r="D11" s="72"/>
      <c r="E11" s="72"/>
      <c r="F11" s="72"/>
      <c r="G11" s="73"/>
    </row>
    <row r="12" spans="1:7" ht="15.75" thickBot="1" x14ac:dyDescent="0.3">
      <c r="A12" s="21" t="s">
        <v>16</v>
      </c>
      <c r="B12" s="74">
        <f>B11*0.1</f>
        <v>275200</v>
      </c>
      <c r="C12" s="74"/>
      <c r="D12" s="74"/>
      <c r="E12" s="74"/>
      <c r="F12" s="74"/>
      <c r="G12" s="75"/>
    </row>
    <row r="13" spans="1:7" ht="15.75" thickBot="1" x14ac:dyDescent="0.3">
      <c r="A13" s="22" t="s">
        <v>17</v>
      </c>
      <c r="B13" s="76">
        <f>B11+B12</f>
        <v>3027200</v>
      </c>
      <c r="C13" s="76"/>
      <c r="D13" s="76"/>
      <c r="E13" s="76"/>
      <c r="F13" s="76"/>
      <c r="G13" s="77"/>
    </row>
    <row r="16" spans="1:7" ht="18.75" x14ac:dyDescent="0.3">
      <c r="B16" s="23"/>
    </row>
    <row r="17" spans="1:7" x14ac:dyDescent="0.25">
      <c r="A17" s="24" t="s">
        <v>18</v>
      </c>
      <c r="B17" s="25" t="s">
        <v>19</v>
      </c>
      <c r="C17" s="27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30"/>
      <c r="D18" s="44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7" t="s">
        <v>25</v>
      </c>
      <c r="D19" s="37"/>
      <c r="E19" s="24">
        <v>1200</v>
      </c>
      <c r="F19" s="24">
        <v>150</v>
      </c>
      <c r="G19" s="38">
        <f t="shared" ref="G19" si="1">E19*F19</f>
        <v>180000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18000</v>
      </c>
    </row>
    <row r="21" spans="1:7" ht="15.75" x14ac:dyDescent="0.25">
      <c r="A21" s="39"/>
      <c r="B21" s="66" t="s">
        <v>27</v>
      </c>
      <c r="C21" s="66"/>
      <c r="D21" s="40"/>
      <c r="E21" s="40"/>
      <c r="F21" s="41">
        <f>SUM(F19:F19)</f>
        <v>150</v>
      </c>
      <c r="G21" s="42">
        <f>G19+G20</f>
        <v>198000</v>
      </c>
    </row>
  </sheetData>
  <mergeCells count="7">
    <mergeCell ref="B20:F20"/>
    <mergeCell ref="B21:C21"/>
    <mergeCell ref="A1:G3"/>
    <mergeCell ref="A4:A5"/>
    <mergeCell ref="B11:G11"/>
    <mergeCell ref="B12:G12"/>
    <mergeCell ref="B13:G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6" sqref="G6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8.42578125" customWidth="1"/>
    <col min="6" max="6" width="12.85546875" customWidth="1"/>
    <col min="7" max="7" width="15.5703125" customWidth="1"/>
    <col min="8" max="8" width="16" customWidth="1"/>
    <col min="9" max="9" width="17.42578125" customWidth="1"/>
  </cols>
  <sheetData>
    <row r="1" spans="1:9" x14ac:dyDescent="0.25">
      <c r="A1" s="67" t="s">
        <v>71</v>
      </c>
      <c r="B1" s="67"/>
      <c r="C1" s="67"/>
      <c r="D1" s="67"/>
      <c r="E1" s="67"/>
      <c r="F1" s="67"/>
      <c r="G1" s="67"/>
      <c r="H1" s="67"/>
      <c r="I1" s="67"/>
    </row>
    <row r="2" spans="1:9" x14ac:dyDescent="0.25">
      <c r="A2" s="67"/>
      <c r="B2" s="67"/>
      <c r="C2" s="67"/>
      <c r="D2" s="67"/>
      <c r="E2" s="67"/>
      <c r="F2" s="67"/>
      <c r="G2" s="67"/>
      <c r="H2" s="67"/>
      <c r="I2" s="67"/>
    </row>
    <row r="3" spans="1:9" ht="15.75" thickBot="1" x14ac:dyDescent="0.3">
      <c r="A3" s="68"/>
      <c r="B3" s="68"/>
      <c r="C3" s="68"/>
      <c r="D3" s="68"/>
      <c r="E3" s="68"/>
      <c r="F3" s="68"/>
      <c r="G3" s="68"/>
      <c r="H3" s="68"/>
      <c r="I3" s="68"/>
    </row>
    <row r="4" spans="1:9" ht="39" thickBot="1" x14ac:dyDescent="0.3">
      <c r="A4" s="69" t="s">
        <v>0</v>
      </c>
      <c r="B4" s="58" t="s">
        <v>42</v>
      </c>
      <c r="C4" s="58" t="s">
        <v>1</v>
      </c>
      <c r="D4" s="1" t="s">
        <v>43</v>
      </c>
      <c r="E4" s="1" t="s">
        <v>37</v>
      </c>
      <c r="F4" s="1" t="s">
        <v>2</v>
      </c>
      <c r="G4" s="58" t="s">
        <v>3</v>
      </c>
      <c r="H4" s="1" t="s">
        <v>4</v>
      </c>
      <c r="I4" s="2" t="s">
        <v>5</v>
      </c>
    </row>
    <row r="5" spans="1:9" ht="26.25" thickBot="1" x14ac:dyDescent="0.3">
      <c r="A5" s="69"/>
      <c r="B5" s="3" t="s">
        <v>60</v>
      </c>
      <c r="C5" s="3" t="s">
        <v>57</v>
      </c>
      <c r="D5" s="3" t="s">
        <v>63</v>
      </c>
      <c r="E5" s="3" t="s">
        <v>38</v>
      </c>
      <c r="F5" s="4" t="s">
        <v>6</v>
      </c>
      <c r="G5" s="59" t="s">
        <v>72</v>
      </c>
      <c r="H5" s="6" t="s">
        <v>8</v>
      </c>
      <c r="I5" s="6" t="s">
        <v>44</v>
      </c>
    </row>
    <row r="6" spans="1:9" ht="15.75" thickBot="1" x14ac:dyDescent="0.3">
      <c r="A6" s="7" t="s">
        <v>10</v>
      </c>
      <c r="B6" s="8">
        <v>6508000</v>
      </c>
      <c r="C6" s="8">
        <v>12635900</v>
      </c>
      <c r="D6" s="8">
        <v>1573000</v>
      </c>
      <c r="E6" s="8"/>
      <c r="F6" s="60" t="s">
        <v>58</v>
      </c>
      <c r="G6" s="55">
        <f>35*5000+1060000</f>
        <v>1235000</v>
      </c>
      <c r="H6" s="9">
        <v>50000</v>
      </c>
      <c r="I6" s="8">
        <v>220000</v>
      </c>
    </row>
    <row r="7" spans="1:9" ht="15.75" thickBot="1" x14ac:dyDescent="0.3">
      <c r="A7" s="10" t="s">
        <v>11</v>
      </c>
      <c r="B7" s="11">
        <f>40000*60</f>
        <v>2400000</v>
      </c>
      <c r="C7" s="11">
        <v>4200000</v>
      </c>
      <c r="D7" s="11">
        <f>16500*60</f>
        <v>990000</v>
      </c>
      <c r="E7" s="11">
        <v>160000</v>
      </c>
      <c r="F7" s="12">
        <f>40000*2.25*2</f>
        <v>180000</v>
      </c>
      <c r="G7" s="49">
        <v>120000</v>
      </c>
      <c r="H7" s="14">
        <f>40000*6</f>
        <v>240000</v>
      </c>
      <c r="I7" s="14">
        <f>480000</f>
        <v>480000</v>
      </c>
    </row>
    <row r="8" spans="1:9" ht="15.75" thickBot="1" x14ac:dyDescent="0.3">
      <c r="A8" s="10" t="s">
        <v>12</v>
      </c>
      <c r="B8" s="49">
        <f>40000*60</f>
        <v>2400000</v>
      </c>
      <c r="C8" s="11">
        <v>4200000</v>
      </c>
      <c r="D8" s="49">
        <f>16500*60</f>
        <v>990000</v>
      </c>
      <c r="E8" s="49">
        <v>160000</v>
      </c>
      <c r="F8" s="15">
        <f>40000*2.25*2</f>
        <v>180000</v>
      </c>
      <c r="G8" s="12">
        <v>120000</v>
      </c>
      <c r="H8" s="13">
        <f>40000*6</f>
        <v>240000</v>
      </c>
      <c r="I8" s="13">
        <f>480000</f>
        <v>480000</v>
      </c>
    </row>
    <row r="9" spans="1:9" ht="15.75" thickBot="1" x14ac:dyDescent="0.3">
      <c r="A9" s="10" t="s">
        <v>13</v>
      </c>
      <c r="B9" s="49">
        <f>F22*0.3</f>
        <v>576000</v>
      </c>
      <c r="C9" s="49">
        <f>F22*0.3</f>
        <v>576000</v>
      </c>
      <c r="D9" s="49">
        <f>F22*0.1</f>
        <v>192000</v>
      </c>
      <c r="E9" s="49">
        <f>F22*0.1</f>
        <v>192000</v>
      </c>
      <c r="F9" s="49">
        <f>F22*0.05</f>
        <v>96000</v>
      </c>
      <c r="G9" s="49">
        <f>F22*0.05</f>
        <v>96000</v>
      </c>
      <c r="H9" s="49">
        <f>F22*0.05</f>
        <v>96000</v>
      </c>
      <c r="I9" s="49">
        <f>F22*0.05</f>
        <v>96000</v>
      </c>
    </row>
    <row r="10" spans="1:9" ht="15.75" thickBot="1" x14ac:dyDescent="0.3">
      <c r="A10" s="17" t="s">
        <v>14</v>
      </c>
      <c r="B10" s="19">
        <f t="shared" ref="B10:I10" si="0">SUM(B6:B9)</f>
        <v>11884000</v>
      </c>
      <c r="C10" s="19">
        <f t="shared" si="0"/>
        <v>21611900</v>
      </c>
      <c r="D10" s="19">
        <f t="shared" si="0"/>
        <v>3745000</v>
      </c>
      <c r="E10" s="19">
        <f>E6+E7+E8+E9</f>
        <v>512000</v>
      </c>
      <c r="F10" s="19">
        <f t="shared" si="0"/>
        <v>456000</v>
      </c>
      <c r="G10" s="19">
        <f t="shared" si="0"/>
        <v>1571000</v>
      </c>
      <c r="H10" s="19">
        <f t="shared" si="0"/>
        <v>626000</v>
      </c>
      <c r="I10" s="19">
        <f t="shared" si="0"/>
        <v>1276000</v>
      </c>
    </row>
    <row r="11" spans="1:9" ht="15.75" thickBot="1" x14ac:dyDescent="0.3">
      <c r="A11" s="20" t="s">
        <v>15</v>
      </c>
      <c r="B11" s="83">
        <f>B10+C10+D10+F10+H10+I10+E10+G10</f>
        <v>41681900</v>
      </c>
      <c r="C11" s="83"/>
      <c r="D11" s="83"/>
      <c r="E11" s="83"/>
      <c r="F11" s="83"/>
      <c r="G11" s="83"/>
      <c r="H11" s="83"/>
      <c r="I11" s="83"/>
    </row>
    <row r="12" spans="1:9" ht="15.75" thickBot="1" x14ac:dyDescent="0.3">
      <c r="A12" s="21" t="s">
        <v>16</v>
      </c>
      <c r="B12" s="79">
        <f>B11*0.1</f>
        <v>4168190</v>
      </c>
      <c r="C12" s="79"/>
      <c r="D12" s="79"/>
      <c r="E12" s="79"/>
      <c r="F12" s="79"/>
      <c r="G12" s="79"/>
      <c r="H12" s="79"/>
      <c r="I12" s="79"/>
    </row>
    <row r="13" spans="1:9" ht="15.75" thickBot="1" x14ac:dyDescent="0.3">
      <c r="A13" s="22" t="s">
        <v>17</v>
      </c>
      <c r="B13" s="80">
        <f>B11+B12</f>
        <v>45850090</v>
      </c>
      <c r="C13" s="80"/>
      <c r="D13" s="80"/>
      <c r="E13" s="80"/>
      <c r="F13" s="80"/>
      <c r="G13" s="80"/>
      <c r="H13" s="80"/>
      <c r="I13" s="80"/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5"/>
      <c r="B19" s="85"/>
      <c r="C19" s="85"/>
      <c r="D19" s="85"/>
      <c r="E19" s="85"/>
      <c r="F19" s="85"/>
    </row>
    <row r="20" spans="1:6" x14ac:dyDescent="0.25">
      <c r="A20" s="24" t="s">
        <v>18</v>
      </c>
      <c r="B20" s="81" t="s">
        <v>19</v>
      </c>
      <c r="C20" s="82"/>
      <c r="D20" s="24" t="s">
        <v>20</v>
      </c>
      <c r="E20" s="24" t="s">
        <v>21</v>
      </c>
      <c r="F20" s="24" t="s">
        <v>22</v>
      </c>
    </row>
    <row r="21" spans="1:6" x14ac:dyDescent="0.25">
      <c r="A21" s="28"/>
      <c r="B21" s="29" t="s">
        <v>23</v>
      </c>
      <c r="C21" s="30"/>
      <c r="D21" s="31"/>
      <c r="E21" s="31"/>
      <c r="F21" s="32"/>
    </row>
    <row r="22" spans="1:6" ht="15.75" x14ac:dyDescent="0.25">
      <c r="A22" s="33">
        <v>1</v>
      </c>
      <c r="B22" s="35" t="s">
        <v>24</v>
      </c>
      <c r="C22" s="37" t="s">
        <v>25</v>
      </c>
      <c r="D22" s="24">
        <v>2400</v>
      </c>
      <c r="E22" s="24">
        <v>800</v>
      </c>
      <c r="F22" s="38">
        <f t="shared" ref="F22" si="1">D22*E22</f>
        <v>1920000</v>
      </c>
    </row>
    <row r="23" spans="1:6" ht="15.75" x14ac:dyDescent="0.25">
      <c r="A23" s="33"/>
      <c r="B23" s="63" t="s">
        <v>26</v>
      </c>
      <c r="C23" s="64"/>
      <c r="D23" s="64"/>
      <c r="E23" s="65"/>
      <c r="F23" s="38">
        <f>(F22)*0.1</f>
        <v>192000</v>
      </c>
    </row>
    <row r="24" spans="1:6" ht="15.75" x14ac:dyDescent="0.25">
      <c r="A24" s="39"/>
      <c r="B24" s="66" t="s">
        <v>27</v>
      </c>
      <c r="C24" s="66"/>
      <c r="D24" s="40"/>
      <c r="E24" s="41">
        <f>SUM(E22:E22)</f>
        <v>800</v>
      </c>
      <c r="F24" s="42">
        <f>F22+F23</f>
        <v>2112000</v>
      </c>
    </row>
  </sheetData>
  <mergeCells count="9">
    <mergeCell ref="B20:C20"/>
    <mergeCell ref="B23:E23"/>
    <mergeCell ref="B24:C24"/>
    <mergeCell ref="A1:I3"/>
    <mergeCell ref="A4:A5"/>
    <mergeCell ref="B11:I11"/>
    <mergeCell ref="B12:I12"/>
    <mergeCell ref="B13:I13"/>
    <mergeCell ref="A18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7" sqref="F7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7" customWidth="1"/>
    <col min="6" max="6" width="14" customWidth="1"/>
    <col min="7" max="7" width="17.85546875" customWidth="1"/>
    <col min="8" max="8" width="9.140625" customWidth="1"/>
  </cols>
  <sheetData>
    <row r="1" spans="1:7" x14ac:dyDescent="0.25">
      <c r="A1" s="67" t="s">
        <v>51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42</v>
      </c>
      <c r="C4" s="1" t="s">
        <v>1</v>
      </c>
      <c r="D4" s="1" t="s">
        <v>43</v>
      </c>
      <c r="E4" s="1" t="s">
        <v>37</v>
      </c>
      <c r="F4" s="50" t="s">
        <v>45</v>
      </c>
      <c r="G4" s="2" t="s">
        <v>5</v>
      </c>
    </row>
    <row r="5" spans="1:7" ht="26.25" thickBot="1" x14ac:dyDescent="0.3">
      <c r="A5" s="69"/>
      <c r="B5" s="51" t="s">
        <v>48</v>
      </c>
      <c r="C5" s="52" t="s">
        <v>49</v>
      </c>
      <c r="D5" s="51" t="s">
        <v>63</v>
      </c>
      <c r="E5" s="3" t="s">
        <v>38</v>
      </c>
      <c r="F5" s="53" t="s">
        <v>50</v>
      </c>
      <c r="G5" s="52" t="s">
        <v>44</v>
      </c>
    </row>
    <row r="6" spans="1:7" ht="15.75" thickBot="1" x14ac:dyDescent="0.3">
      <c r="A6" s="54" t="s">
        <v>10</v>
      </c>
      <c r="B6" s="8">
        <f>[1]material!F4+[1]material!F5+[1]material!F6+[1]material!F7+[1]material!F8+[1]material!F9+[1]material!F10+[1]material!F11+[1]material!F12+[1]material!F13+[1]material!F14+[1]material!F15+[1]material!F16+[1]material!F17+[1]material!F18+[1]material!F19+[1]material!F20+[1]material!F21+[1]material!F22+[1]material!F23+[1]material!F24+[1]material!F25+[1]material!F26</f>
        <v>11757000</v>
      </c>
      <c r="C6" s="8">
        <v>10435900</v>
      </c>
      <c r="D6" s="8">
        <v>1840000</v>
      </c>
      <c r="E6" s="8"/>
      <c r="F6" s="8">
        <f>14*280000+800*4000+1060000</f>
        <v>8180000</v>
      </c>
      <c r="G6" s="8">
        <f>220000</f>
        <v>220000</v>
      </c>
    </row>
    <row r="7" spans="1:7" ht="15.75" thickBot="1" x14ac:dyDescent="0.3">
      <c r="A7" s="10" t="s">
        <v>11</v>
      </c>
      <c r="B7" s="49">
        <v>8400000</v>
      </c>
      <c r="C7" s="49">
        <f>8400000</f>
        <v>8400000</v>
      </c>
      <c r="D7" s="49">
        <f>40000*33/2*2</f>
        <v>1320000</v>
      </c>
      <c r="E7" s="11">
        <v>320000</v>
      </c>
      <c r="F7" s="49">
        <f>40000*30*4</f>
        <v>4800000</v>
      </c>
      <c r="G7" s="13">
        <f>480000</f>
        <v>480000</v>
      </c>
    </row>
    <row r="8" spans="1:7" ht="15.75" thickBot="1" x14ac:dyDescent="0.3">
      <c r="A8" s="10" t="s">
        <v>12</v>
      </c>
      <c r="B8" s="49"/>
      <c r="C8" s="49"/>
      <c r="D8" s="49"/>
      <c r="E8" s="49"/>
      <c r="F8" s="49"/>
      <c r="G8" s="13"/>
    </row>
    <row r="9" spans="1:7" ht="15.75" thickBot="1" x14ac:dyDescent="0.3">
      <c r="A9" s="10" t="s">
        <v>13</v>
      </c>
      <c r="B9" s="49">
        <f>G18*0.4</f>
        <v>768000</v>
      </c>
      <c r="C9" s="49">
        <f>G18*0.3</f>
        <v>576000</v>
      </c>
      <c r="D9" s="49">
        <f>G18*0.1</f>
        <v>192000</v>
      </c>
      <c r="E9" s="49">
        <f>G18*0.05</f>
        <v>96000</v>
      </c>
      <c r="F9" s="49">
        <f>G18*0.1</f>
        <v>192000</v>
      </c>
      <c r="G9" s="13">
        <f>G18*0.1</f>
        <v>192000</v>
      </c>
    </row>
    <row r="10" spans="1:7" ht="15.75" thickBot="1" x14ac:dyDescent="0.3">
      <c r="A10" s="56" t="s">
        <v>14</v>
      </c>
      <c r="B10" s="57">
        <f t="shared" ref="B10:G10" si="0">SUM(B6:B9)</f>
        <v>20925000</v>
      </c>
      <c r="C10" s="57">
        <f t="shared" si="0"/>
        <v>19411900</v>
      </c>
      <c r="D10" s="57">
        <f t="shared" si="0"/>
        <v>3352000</v>
      </c>
      <c r="E10" s="57">
        <f t="shared" si="0"/>
        <v>416000</v>
      </c>
      <c r="F10" s="57">
        <f t="shared" si="0"/>
        <v>13172000</v>
      </c>
      <c r="G10" s="57">
        <f t="shared" si="0"/>
        <v>892000</v>
      </c>
    </row>
    <row r="11" spans="1:7" ht="15.75" thickBot="1" x14ac:dyDescent="0.3">
      <c r="A11" s="21" t="s">
        <v>47</v>
      </c>
      <c r="B11" s="78">
        <f>B10+C10+D10+F10+G10+E10</f>
        <v>58168900</v>
      </c>
      <c r="C11" s="78"/>
      <c r="D11" s="78"/>
      <c r="E11" s="78"/>
      <c r="F11" s="78"/>
      <c r="G11" s="78"/>
    </row>
    <row r="12" spans="1:7" ht="15.75" thickBot="1" x14ac:dyDescent="0.3">
      <c r="A12" s="21" t="s">
        <v>16</v>
      </c>
      <c r="B12" s="79">
        <f>B11*0.1</f>
        <v>5816890</v>
      </c>
      <c r="C12" s="79"/>
      <c r="D12" s="79"/>
      <c r="E12" s="79"/>
      <c r="F12" s="79"/>
      <c r="G12" s="79"/>
    </row>
    <row r="13" spans="1:7" ht="15.75" thickBot="1" x14ac:dyDescent="0.3">
      <c r="A13" s="22" t="s">
        <v>17</v>
      </c>
      <c r="B13" s="80">
        <f>B11+B12</f>
        <v>63985790</v>
      </c>
      <c r="C13" s="80"/>
      <c r="D13" s="80"/>
      <c r="E13" s="80"/>
      <c r="F13" s="80"/>
      <c r="G13" s="80"/>
    </row>
    <row r="16" spans="1:7" x14ac:dyDescent="0.25">
      <c r="A16" s="24" t="s">
        <v>18</v>
      </c>
      <c r="B16" s="61" t="s">
        <v>19</v>
      </c>
      <c r="C16" s="26"/>
      <c r="D16" s="62"/>
      <c r="E16" s="24" t="s">
        <v>20</v>
      </c>
      <c r="F16" s="24" t="s">
        <v>21</v>
      </c>
      <c r="G16" s="24" t="s">
        <v>22</v>
      </c>
    </row>
    <row r="17" spans="1:7" x14ac:dyDescent="0.25">
      <c r="A17" s="28"/>
      <c r="B17" s="29" t="s">
        <v>23</v>
      </c>
      <c r="C17" s="29"/>
      <c r="D17" s="30"/>
      <c r="E17" s="31"/>
      <c r="F17" s="31"/>
      <c r="G17" s="32"/>
    </row>
    <row r="18" spans="1:7" ht="15.75" x14ac:dyDescent="0.25">
      <c r="A18" s="33">
        <v>1</v>
      </c>
      <c r="B18" s="35" t="s">
        <v>24</v>
      </c>
      <c r="C18" s="36"/>
      <c r="D18" s="37" t="s">
        <v>25</v>
      </c>
      <c r="E18" s="24">
        <v>3200</v>
      </c>
      <c r="F18" s="24">
        <v>600</v>
      </c>
      <c r="G18" s="38">
        <f t="shared" ref="G18" si="1">E18*F18</f>
        <v>1920000</v>
      </c>
    </row>
    <row r="19" spans="1:7" ht="15.75" x14ac:dyDescent="0.25">
      <c r="A19" s="33"/>
      <c r="B19" s="63" t="s">
        <v>26</v>
      </c>
      <c r="C19" s="64"/>
      <c r="D19" s="64"/>
      <c r="E19" s="64"/>
      <c r="F19" s="65"/>
      <c r="G19" s="38">
        <f>G18*0.1</f>
        <v>192000</v>
      </c>
    </row>
    <row r="20" spans="1:7" ht="15.75" x14ac:dyDescent="0.25">
      <c r="A20" s="39"/>
      <c r="B20" s="66" t="s">
        <v>27</v>
      </c>
      <c r="C20" s="66"/>
      <c r="D20" s="66"/>
      <c r="E20" s="40"/>
      <c r="F20" s="41">
        <f>SUM(F18:F18)</f>
        <v>600</v>
      </c>
      <c r="G20" s="42">
        <f>G18+G19</f>
        <v>2112000</v>
      </c>
    </row>
  </sheetData>
  <mergeCells count="7">
    <mergeCell ref="B19:F19"/>
    <mergeCell ref="B20:D20"/>
    <mergeCell ref="A4:A5"/>
    <mergeCell ref="A1:G3"/>
    <mergeCell ref="B11:G11"/>
    <mergeCell ref="B12:G12"/>
    <mergeCell ref="B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8" sqref="C8"/>
    </sheetView>
  </sheetViews>
  <sheetFormatPr defaultRowHeight="15" x14ac:dyDescent="0.25"/>
  <cols>
    <col min="1" max="1" width="21" customWidth="1"/>
    <col min="2" max="3" width="19.5703125" customWidth="1"/>
    <col min="4" max="6" width="15.5703125" customWidth="1"/>
    <col min="7" max="7" width="16.5703125" customWidth="1"/>
  </cols>
  <sheetData>
    <row r="1" spans="1:7" x14ac:dyDescent="0.25">
      <c r="A1" s="67" t="s">
        <v>32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1</v>
      </c>
      <c r="C4" s="70" t="s">
        <v>2</v>
      </c>
      <c r="D4" s="71"/>
      <c r="E4" s="1" t="s">
        <v>3</v>
      </c>
      <c r="F4" s="1" t="s">
        <v>4</v>
      </c>
      <c r="G4" s="2" t="s">
        <v>5</v>
      </c>
    </row>
    <row r="5" spans="1:7" ht="26.25" thickBot="1" x14ac:dyDescent="0.3">
      <c r="A5" s="69"/>
      <c r="B5" s="3" t="s">
        <v>28</v>
      </c>
      <c r="C5" s="3" t="s">
        <v>33</v>
      </c>
      <c r="D5" s="4" t="s">
        <v>6</v>
      </c>
      <c r="E5" s="4" t="s">
        <v>30</v>
      </c>
      <c r="F5" s="5" t="s">
        <v>8</v>
      </c>
      <c r="G5" s="6" t="s">
        <v>9</v>
      </c>
    </row>
    <row r="6" spans="1:7" ht="15.75" thickBot="1" x14ac:dyDescent="0.3">
      <c r="A6" s="7" t="s">
        <v>10</v>
      </c>
      <c r="B6" s="8">
        <f>840000*3</f>
        <v>2520000</v>
      </c>
      <c r="C6" s="8">
        <f>54*4000+65*2000</f>
        <v>346000</v>
      </c>
      <c r="D6" s="9">
        <v>80000</v>
      </c>
      <c r="E6" s="9">
        <f>1060000+20*12000</f>
        <v>1300000</v>
      </c>
      <c r="F6" s="8">
        <v>50000</v>
      </c>
      <c r="G6" s="8"/>
    </row>
    <row r="7" spans="1:7" ht="15.75" thickBot="1" x14ac:dyDescent="0.3">
      <c r="A7" s="10" t="s">
        <v>11</v>
      </c>
      <c r="B7" s="11">
        <v>720000</v>
      </c>
      <c r="C7" s="11">
        <f>10000*18+65*5000</f>
        <v>505000</v>
      </c>
      <c r="D7" s="12">
        <f>40000*2.25*3</f>
        <v>270000</v>
      </c>
      <c r="E7" s="12">
        <v>200000</v>
      </c>
      <c r="F7" s="13">
        <v>480000</v>
      </c>
      <c r="G7" s="14">
        <v>60000</v>
      </c>
    </row>
    <row r="8" spans="1:7" ht="15.75" thickBot="1" x14ac:dyDescent="0.3">
      <c r="A8" s="10" t="s">
        <v>12</v>
      </c>
      <c r="B8" s="11"/>
      <c r="C8" s="11"/>
      <c r="D8" s="15"/>
      <c r="E8" s="12"/>
      <c r="F8" s="13"/>
      <c r="G8" s="13"/>
    </row>
    <row r="9" spans="1:7" ht="15.75" thickBot="1" x14ac:dyDescent="0.3">
      <c r="A9" s="10" t="s">
        <v>13</v>
      </c>
      <c r="B9" s="8">
        <f>G19*0.4</f>
        <v>57600</v>
      </c>
      <c r="C9" s="8">
        <f>G19*0.1</f>
        <v>14400</v>
      </c>
      <c r="D9" s="8">
        <f>G19*0.1</f>
        <v>14400</v>
      </c>
      <c r="E9" s="8">
        <f>G19*0.1</f>
        <v>14400</v>
      </c>
      <c r="F9" s="8">
        <f>G19*0.3</f>
        <v>43200</v>
      </c>
      <c r="G9" s="16"/>
    </row>
    <row r="10" spans="1:7" ht="15.75" thickBot="1" x14ac:dyDescent="0.3">
      <c r="A10" s="17" t="s">
        <v>14</v>
      </c>
      <c r="B10" s="19">
        <f t="shared" ref="B10:D10" si="0">SUM(B6:B9)</f>
        <v>3297600</v>
      </c>
      <c r="C10" s="19">
        <f>SUM(C6:C9)</f>
        <v>865400</v>
      </c>
      <c r="D10" s="19">
        <f t="shared" si="0"/>
        <v>364400</v>
      </c>
      <c r="E10" s="19">
        <f>SUM(E6:E9)</f>
        <v>1514400</v>
      </c>
      <c r="F10" s="18">
        <f>SUM(F6:F9)</f>
        <v>573200</v>
      </c>
      <c r="G10" s="19">
        <f>G7+G8+G9+G6</f>
        <v>60000</v>
      </c>
    </row>
    <row r="11" spans="1:7" ht="15.75" thickBot="1" x14ac:dyDescent="0.3">
      <c r="A11" s="20" t="s">
        <v>15</v>
      </c>
      <c r="B11" s="72">
        <f>B10+C10+D10+E10+F10+G10</f>
        <v>6675000</v>
      </c>
      <c r="C11" s="72"/>
      <c r="D11" s="72"/>
      <c r="E11" s="72"/>
      <c r="F11" s="72"/>
      <c r="G11" s="73"/>
    </row>
    <row r="12" spans="1:7" ht="15.75" thickBot="1" x14ac:dyDescent="0.3">
      <c r="A12" s="21" t="s">
        <v>16</v>
      </c>
      <c r="B12" s="74">
        <f>B11*0.1</f>
        <v>667500</v>
      </c>
      <c r="C12" s="74"/>
      <c r="D12" s="74"/>
      <c r="E12" s="74"/>
      <c r="F12" s="74"/>
      <c r="G12" s="75"/>
    </row>
    <row r="13" spans="1:7" ht="15.75" thickBot="1" x14ac:dyDescent="0.3">
      <c r="A13" s="22" t="s">
        <v>17</v>
      </c>
      <c r="B13" s="76">
        <f>B11+B12</f>
        <v>7342500</v>
      </c>
      <c r="C13" s="76"/>
      <c r="D13" s="76"/>
      <c r="E13" s="76"/>
      <c r="F13" s="76"/>
      <c r="G13" s="77"/>
    </row>
    <row r="16" spans="1:7" ht="18.75" x14ac:dyDescent="0.3">
      <c r="B16" s="23"/>
      <c r="C16" s="23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1200</v>
      </c>
      <c r="F19" s="24">
        <v>120</v>
      </c>
      <c r="G19" s="38">
        <f t="shared" ref="G19" si="1">E19*F19</f>
        <v>144000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14400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120</v>
      </c>
      <c r="G21" s="42">
        <f>G19+G20</f>
        <v>158400</v>
      </c>
    </row>
  </sheetData>
  <mergeCells count="8">
    <mergeCell ref="B20:F20"/>
    <mergeCell ref="B21:D21"/>
    <mergeCell ref="A1:G3"/>
    <mergeCell ref="A4:A5"/>
    <mergeCell ref="C4:D4"/>
    <mergeCell ref="B11:G11"/>
    <mergeCell ref="B12:G12"/>
    <mergeCell ref="B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6" sqref="E16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8.42578125" customWidth="1"/>
    <col min="6" max="6" width="12.85546875" customWidth="1"/>
    <col min="7" max="7" width="15.5703125" customWidth="1"/>
    <col min="8" max="8" width="16" customWidth="1"/>
    <col min="9" max="9" width="17.42578125" customWidth="1"/>
  </cols>
  <sheetData>
    <row r="1" spans="1:9" x14ac:dyDescent="0.25">
      <c r="A1" s="67" t="s">
        <v>68</v>
      </c>
      <c r="B1" s="67"/>
      <c r="C1" s="67"/>
      <c r="D1" s="67"/>
      <c r="E1" s="67"/>
      <c r="F1" s="67"/>
      <c r="G1" s="67"/>
      <c r="H1" s="67"/>
      <c r="I1" s="67"/>
    </row>
    <row r="2" spans="1:9" x14ac:dyDescent="0.25">
      <c r="A2" s="67"/>
      <c r="B2" s="67"/>
      <c r="C2" s="67"/>
      <c r="D2" s="67"/>
      <c r="E2" s="67"/>
      <c r="F2" s="67"/>
      <c r="G2" s="67"/>
      <c r="H2" s="67"/>
      <c r="I2" s="67"/>
    </row>
    <row r="3" spans="1:9" ht="15.75" thickBot="1" x14ac:dyDescent="0.3">
      <c r="A3" s="68"/>
      <c r="B3" s="68"/>
      <c r="C3" s="68"/>
      <c r="D3" s="68"/>
      <c r="E3" s="68"/>
      <c r="F3" s="68"/>
      <c r="G3" s="68"/>
      <c r="H3" s="68"/>
      <c r="I3" s="68"/>
    </row>
    <row r="4" spans="1:9" ht="39" thickBot="1" x14ac:dyDescent="0.3">
      <c r="A4" s="69" t="s">
        <v>0</v>
      </c>
      <c r="B4" s="58" t="s">
        <v>42</v>
      </c>
      <c r="C4" s="58" t="s">
        <v>1</v>
      </c>
      <c r="D4" s="1" t="s">
        <v>43</v>
      </c>
      <c r="E4" s="1" t="s">
        <v>37</v>
      </c>
      <c r="F4" s="1" t="s">
        <v>2</v>
      </c>
      <c r="G4" s="58" t="s">
        <v>3</v>
      </c>
      <c r="H4" s="1" t="s">
        <v>4</v>
      </c>
      <c r="I4" s="2" t="s">
        <v>5</v>
      </c>
    </row>
    <row r="5" spans="1:9" ht="26.25" thickBot="1" x14ac:dyDescent="0.3">
      <c r="A5" s="69"/>
      <c r="B5" s="3" t="s">
        <v>60</v>
      </c>
      <c r="C5" s="3" t="s">
        <v>57</v>
      </c>
      <c r="D5" s="3" t="s">
        <v>63</v>
      </c>
      <c r="E5" s="3" t="s">
        <v>38</v>
      </c>
      <c r="F5" s="4" t="s">
        <v>6</v>
      </c>
      <c r="G5" s="59" t="s">
        <v>69</v>
      </c>
      <c r="H5" s="6" t="s">
        <v>8</v>
      </c>
      <c r="I5" s="6" t="s">
        <v>44</v>
      </c>
    </row>
    <row r="6" spans="1:9" ht="15.75" thickBot="1" x14ac:dyDescent="0.3">
      <c r="A6" s="7" t="s">
        <v>10</v>
      </c>
      <c r="B6" s="8">
        <v>6508000</v>
      </c>
      <c r="C6" s="8">
        <v>12635900</v>
      </c>
      <c r="D6" s="8">
        <v>1840000</v>
      </c>
      <c r="E6" s="8"/>
      <c r="F6" s="60" t="s">
        <v>58</v>
      </c>
      <c r="G6" s="8">
        <f>30*280000+1700*5000+1060000+3000000</f>
        <v>20960000</v>
      </c>
      <c r="H6" s="9">
        <v>50000</v>
      </c>
      <c r="I6" s="8">
        <v>220000</v>
      </c>
    </row>
    <row r="7" spans="1:9" ht="15.75" thickBot="1" x14ac:dyDescent="0.3">
      <c r="A7" s="10" t="s">
        <v>11</v>
      </c>
      <c r="B7" s="11">
        <f>40000*60*3</f>
        <v>7200000</v>
      </c>
      <c r="C7" s="11">
        <f>4200000*3</f>
        <v>12600000</v>
      </c>
      <c r="D7" s="11">
        <f>16500*60*3</f>
        <v>2970000</v>
      </c>
      <c r="E7" s="11">
        <f>160000*2</f>
        <v>320000</v>
      </c>
      <c r="F7" s="12">
        <f>40000*2.25*2</f>
        <v>180000</v>
      </c>
      <c r="G7" s="49">
        <f>2400000*3*2</f>
        <v>14400000</v>
      </c>
      <c r="H7" s="14">
        <f>40000*6*2</f>
        <v>480000</v>
      </c>
      <c r="I7" s="14">
        <f>480000*2</f>
        <v>960000</v>
      </c>
    </row>
    <row r="8" spans="1:9" ht="15.75" thickBot="1" x14ac:dyDescent="0.3">
      <c r="A8" s="10" t="s">
        <v>12</v>
      </c>
      <c r="B8" s="49">
        <f>40000*60*3</f>
        <v>7200000</v>
      </c>
      <c r="C8" s="11">
        <f>4200000*3</f>
        <v>12600000</v>
      </c>
      <c r="D8" s="49">
        <f>16500*60*3</f>
        <v>2970000</v>
      </c>
      <c r="E8" s="49">
        <f>160000*2</f>
        <v>320000</v>
      </c>
      <c r="F8" s="15">
        <f>40000*2.25*2</f>
        <v>180000</v>
      </c>
      <c r="G8" s="12">
        <f>2400000*2*3</f>
        <v>14400000</v>
      </c>
      <c r="H8" s="13">
        <f>40000*6*2</f>
        <v>480000</v>
      </c>
      <c r="I8" s="13">
        <f>480000*2</f>
        <v>960000</v>
      </c>
    </row>
    <row r="9" spans="1:9" ht="15.75" thickBot="1" x14ac:dyDescent="0.3">
      <c r="A9" s="10" t="s">
        <v>13</v>
      </c>
      <c r="B9" s="49">
        <f>F22*0.2</f>
        <v>1152000</v>
      </c>
      <c r="C9" s="49">
        <f>F22*0.3</f>
        <v>1728000</v>
      </c>
      <c r="D9" s="49">
        <f>F22*0.1</f>
        <v>576000</v>
      </c>
      <c r="E9" s="49">
        <f>F22*0.05</f>
        <v>288000</v>
      </c>
      <c r="F9" s="49">
        <f>F22*0.05</f>
        <v>288000</v>
      </c>
      <c r="G9" s="49">
        <f>F22*0.2</f>
        <v>1152000</v>
      </c>
      <c r="H9" s="49">
        <f>F22*0.05</f>
        <v>288000</v>
      </c>
      <c r="I9" s="49">
        <f>F22*0.05</f>
        <v>288000</v>
      </c>
    </row>
    <row r="10" spans="1:9" ht="15.75" thickBot="1" x14ac:dyDescent="0.3">
      <c r="A10" s="17" t="s">
        <v>14</v>
      </c>
      <c r="B10" s="19">
        <f t="shared" ref="B10:I10" si="0">SUM(B6:B9)</f>
        <v>22060000</v>
      </c>
      <c r="C10" s="19">
        <f t="shared" si="0"/>
        <v>39563900</v>
      </c>
      <c r="D10" s="19">
        <f t="shared" si="0"/>
        <v>8356000</v>
      </c>
      <c r="E10" s="19">
        <f>E6+E7+E8+E9</f>
        <v>928000</v>
      </c>
      <c r="F10" s="19">
        <f t="shared" si="0"/>
        <v>648000</v>
      </c>
      <c r="G10" s="19">
        <f t="shared" si="0"/>
        <v>50912000</v>
      </c>
      <c r="H10" s="19">
        <f t="shared" si="0"/>
        <v>1298000</v>
      </c>
      <c r="I10" s="19">
        <f t="shared" si="0"/>
        <v>2428000</v>
      </c>
    </row>
    <row r="11" spans="1:9" ht="15.75" thickBot="1" x14ac:dyDescent="0.3">
      <c r="A11" s="20" t="s">
        <v>15</v>
      </c>
      <c r="B11" s="83">
        <f>B10+C10+D10+F10+H10+I10+E10+G10</f>
        <v>126193900</v>
      </c>
      <c r="C11" s="83"/>
      <c r="D11" s="83"/>
      <c r="E11" s="83"/>
      <c r="F11" s="83"/>
      <c r="G11" s="83"/>
      <c r="H11" s="83"/>
      <c r="I11" s="83"/>
    </row>
    <row r="12" spans="1:9" ht="15.75" thickBot="1" x14ac:dyDescent="0.3">
      <c r="A12" s="21" t="s">
        <v>16</v>
      </c>
      <c r="B12" s="79">
        <f>B11*0.1</f>
        <v>12619390</v>
      </c>
      <c r="C12" s="79"/>
      <c r="D12" s="79"/>
      <c r="E12" s="79"/>
      <c r="F12" s="79"/>
      <c r="G12" s="79"/>
      <c r="H12" s="79"/>
      <c r="I12" s="79"/>
    </row>
    <row r="13" spans="1:9" ht="15.75" thickBot="1" x14ac:dyDescent="0.3">
      <c r="A13" s="22" t="s">
        <v>17</v>
      </c>
      <c r="B13" s="80">
        <f>B11+B12</f>
        <v>138813290</v>
      </c>
      <c r="C13" s="80"/>
      <c r="D13" s="80"/>
      <c r="E13" s="80"/>
      <c r="F13" s="80"/>
      <c r="G13" s="80"/>
      <c r="H13" s="80"/>
      <c r="I13" s="80"/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5"/>
      <c r="B19" s="85"/>
      <c r="C19" s="85"/>
      <c r="D19" s="85"/>
      <c r="E19" s="85"/>
      <c r="F19" s="85"/>
    </row>
    <row r="20" spans="1:6" x14ac:dyDescent="0.25">
      <c r="A20" s="24" t="s">
        <v>18</v>
      </c>
      <c r="B20" s="81" t="s">
        <v>19</v>
      </c>
      <c r="C20" s="82"/>
      <c r="D20" s="24" t="s">
        <v>20</v>
      </c>
      <c r="E20" s="24" t="s">
        <v>21</v>
      </c>
      <c r="F20" s="24" t="s">
        <v>22</v>
      </c>
    </row>
    <row r="21" spans="1:6" x14ac:dyDescent="0.25">
      <c r="A21" s="28"/>
      <c r="B21" s="29" t="s">
        <v>23</v>
      </c>
      <c r="C21" s="30"/>
      <c r="D21" s="31"/>
      <c r="E21" s="31"/>
      <c r="F21" s="32"/>
    </row>
    <row r="22" spans="1:6" ht="15.75" x14ac:dyDescent="0.25">
      <c r="A22" s="33">
        <v>1</v>
      </c>
      <c r="B22" s="35" t="s">
        <v>24</v>
      </c>
      <c r="C22" s="37" t="s">
        <v>25</v>
      </c>
      <c r="D22" s="24">
        <v>3200</v>
      </c>
      <c r="E22" s="24">
        <v>1800</v>
      </c>
      <c r="F22" s="38">
        <f t="shared" ref="F22" si="1">D22*E22</f>
        <v>5760000</v>
      </c>
    </row>
    <row r="23" spans="1:6" ht="15.75" x14ac:dyDescent="0.25">
      <c r="A23" s="33"/>
      <c r="B23" s="63" t="s">
        <v>26</v>
      </c>
      <c r="C23" s="64"/>
      <c r="D23" s="64"/>
      <c r="E23" s="65"/>
      <c r="F23" s="38">
        <f>(F22)*0.1</f>
        <v>576000</v>
      </c>
    </row>
    <row r="24" spans="1:6" ht="15.75" x14ac:dyDescent="0.25">
      <c r="A24" s="39"/>
      <c r="B24" s="66" t="s">
        <v>27</v>
      </c>
      <c r="C24" s="66"/>
      <c r="D24" s="40"/>
      <c r="E24" s="41">
        <f>SUM(E22:E22)</f>
        <v>1800</v>
      </c>
      <c r="F24" s="42">
        <f>F22+F23</f>
        <v>6336000</v>
      </c>
    </row>
  </sheetData>
  <mergeCells count="9">
    <mergeCell ref="B20:C20"/>
    <mergeCell ref="B23:E23"/>
    <mergeCell ref="B24:C24"/>
    <mergeCell ref="A1:I3"/>
    <mergeCell ref="A4:A5"/>
    <mergeCell ref="B11:I11"/>
    <mergeCell ref="B12:I12"/>
    <mergeCell ref="B13:I13"/>
    <mergeCell ref="A18:F1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8" sqref="D8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4" customWidth="1"/>
    <col min="6" max="6" width="17.85546875" customWidth="1"/>
    <col min="7" max="7" width="17" customWidth="1"/>
  </cols>
  <sheetData>
    <row r="1" spans="1:6" x14ac:dyDescent="0.25">
      <c r="A1" s="67" t="s">
        <v>52</v>
      </c>
      <c r="B1" s="67"/>
      <c r="C1" s="67"/>
      <c r="D1" s="67"/>
      <c r="E1" s="67"/>
      <c r="F1" s="67"/>
    </row>
    <row r="2" spans="1:6" x14ac:dyDescent="0.25">
      <c r="A2" s="67"/>
      <c r="B2" s="67"/>
      <c r="C2" s="67"/>
      <c r="D2" s="67"/>
      <c r="E2" s="67"/>
      <c r="F2" s="67"/>
    </row>
    <row r="3" spans="1:6" ht="15.75" thickBot="1" x14ac:dyDescent="0.3">
      <c r="A3" s="68"/>
      <c r="B3" s="68"/>
      <c r="C3" s="68"/>
      <c r="D3" s="68"/>
      <c r="E3" s="68"/>
      <c r="F3" s="68"/>
    </row>
    <row r="4" spans="1:6" ht="26.25" thickBot="1" x14ac:dyDescent="0.3">
      <c r="A4" s="69" t="s">
        <v>0</v>
      </c>
      <c r="B4" s="1" t="s">
        <v>42</v>
      </c>
      <c r="C4" s="1" t="s">
        <v>1</v>
      </c>
      <c r="D4" s="1" t="s">
        <v>43</v>
      </c>
      <c r="E4" s="50" t="s">
        <v>3</v>
      </c>
      <c r="F4" s="2" t="s">
        <v>5</v>
      </c>
    </row>
    <row r="5" spans="1:6" ht="26.25" thickBot="1" x14ac:dyDescent="0.3">
      <c r="A5" s="69"/>
      <c r="B5" s="51" t="s">
        <v>48</v>
      </c>
      <c r="C5" s="52" t="s">
        <v>49</v>
      </c>
      <c r="D5" s="51" t="s">
        <v>63</v>
      </c>
      <c r="E5" s="53" t="s">
        <v>53</v>
      </c>
      <c r="F5" s="52" t="s">
        <v>44</v>
      </c>
    </row>
    <row r="6" spans="1:6" ht="15.75" thickBot="1" x14ac:dyDescent="0.3">
      <c r="A6" s="54" t="s">
        <v>10</v>
      </c>
      <c r="B6" s="8">
        <v>11757000</v>
      </c>
      <c r="C6" s="8">
        <v>10435900</v>
      </c>
      <c r="D6" s="8">
        <v>1840000</v>
      </c>
      <c r="E6" s="8">
        <f>7*280000+350*5000+1060000</f>
        <v>4770000</v>
      </c>
      <c r="F6" s="8">
        <f>220000</f>
        <v>220000</v>
      </c>
    </row>
    <row r="7" spans="1:6" ht="15.75" thickBot="1" x14ac:dyDescent="0.3">
      <c r="A7" s="10" t="s">
        <v>11</v>
      </c>
      <c r="B7" s="49">
        <v>8400000</v>
      </c>
      <c r="C7" s="49">
        <v>8400000</v>
      </c>
      <c r="D7" s="49">
        <f>40000*33/2*2</f>
        <v>1320000</v>
      </c>
      <c r="E7" s="49">
        <v>3600000</v>
      </c>
      <c r="F7" s="13">
        <f>480000</f>
        <v>480000</v>
      </c>
    </row>
    <row r="8" spans="1:6" ht="15.75" thickBot="1" x14ac:dyDescent="0.3">
      <c r="A8" s="10" t="s">
        <v>12</v>
      </c>
      <c r="B8" s="49"/>
      <c r="C8" s="49"/>
      <c r="D8" s="49"/>
      <c r="E8" s="49"/>
      <c r="F8" s="13"/>
    </row>
    <row r="9" spans="1:6" ht="15.75" thickBot="1" x14ac:dyDescent="0.3">
      <c r="A9" s="10" t="s">
        <v>13</v>
      </c>
      <c r="B9" s="49">
        <f>G19*0.4</f>
        <v>768000</v>
      </c>
      <c r="C9" s="49">
        <f>G19*0.2</f>
        <v>384000</v>
      </c>
      <c r="D9" s="49">
        <f>G19*0.05</f>
        <v>96000</v>
      </c>
      <c r="E9" s="49">
        <f>G19*0.3</f>
        <v>576000</v>
      </c>
      <c r="F9" s="13">
        <f>G19*0.05</f>
        <v>96000</v>
      </c>
    </row>
    <row r="10" spans="1:6" ht="15.75" thickBot="1" x14ac:dyDescent="0.3">
      <c r="A10" s="56" t="s">
        <v>14</v>
      </c>
      <c r="B10" s="57">
        <f>SUM(B6:B9)</f>
        <v>20925000</v>
      </c>
      <c r="C10" s="57">
        <f>SUM(C6:C9)</f>
        <v>19219900</v>
      </c>
      <c r="D10" s="57">
        <f>SUM(D6:D9)</f>
        <v>3256000</v>
      </c>
      <c r="E10" s="57">
        <f>SUM(E6:E9)</f>
        <v>8946000</v>
      </c>
      <c r="F10" s="57">
        <f>SUM(F6:F9)</f>
        <v>796000</v>
      </c>
    </row>
    <row r="11" spans="1:6" ht="15.75" thickBot="1" x14ac:dyDescent="0.3">
      <c r="A11" s="21" t="s">
        <v>47</v>
      </c>
      <c r="B11" s="78">
        <f>B10+C10+D10+E10+F10</f>
        <v>53142900</v>
      </c>
      <c r="C11" s="78"/>
      <c r="D11" s="78"/>
      <c r="E11" s="78"/>
      <c r="F11" s="78"/>
    </row>
    <row r="12" spans="1:6" ht="15.75" thickBot="1" x14ac:dyDescent="0.3">
      <c r="A12" s="21" t="s">
        <v>16</v>
      </c>
      <c r="B12" s="79">
        <f>B11*0.1</f>
        <v>5314290</v>
      </c>
      <c r="C12" s="79"/>
      <c r="D12" s="79"/>
      <c r="E12" s="79"/>
      <c r="F12" s="79"/>
    </row>
    <row r="13" spans="1:6" ht="15.75" thickBot="1" x14ac:dyDescent="0.3">
      <c r="A13" s="22" t="s">
        <v>17</v>
      </c>
      <c r="B13" s="80">
        <f>B11+B12</f>
        <v>58457190</v>
      </c>
      <c r="C13" s="80"/>
      <c r="D13" s="80"/>
      <c r="E13" s="80"/>
      <c r="F13" s="80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3200</v>
      </c>
      <c r="F19" s="24">
        <v>600</v>
      </c>
      <c r="G19" s="38">
        <f t="shared" ref="G19" si="0">E19*F19</f>
        <v>1920000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192000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600</v>
      </c>
      <c r="G21" s="42">
        <f>G19+G20</f>
        <v>2112000</v>
      </c>
    </row>
  </sheetData>
  <mergeCells count="7">
    <mergeCell ref="B20:F20"/>
    <mergeCell ref="B21:D21"/>
    <mergeCell ref="A1:F3"/>
    <mergeCell ref="A4:A5"/>
    <mergeCell ref="B11:F11"/>
    <mergeCell ref="B12:F12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9" sqref="I9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4" customWidth="1"/>
    <col min="6" max="6" width="17.85546875" customWidth="1"/>
    <col min="7" max="7" width="17" customWidth="1"/>
  </cols>
  <sheetData>
    <row r="1" spans="1:6" x14ac:dyDescent="0.25">
      <c r="A1" s="67" t="s">
        <v>54</v>
      </c>
      <c r="B1" s="67"/>
      <c r="C1" s="67"/>
      <c r="D1" s="67"/>
      <c r="E1" s="67"/>
      <c r="F1" s="67"/>
    </row>
    <row r="2" spans="1:6" x14ac:dyDescent="0.25">
      <c r="A2" s="67"/>
      <c r="B2" s="67"/>
      <c r="C2" s="67"/>
      <c r="D2" s="67"/>
      <c r="E2" s="67"/>
      <c r="F2" s="67"/>
    </row>
    <row r="3" spans="1:6" ht="15.75" thickBot="1" x14ac:dyDescent="0.3">
      <c r="A3" s="68"/>
      <c r="B3" s="68"/>
      <c r="C3" s="68"/>
      <c r="D3" s="68"/>
      <c r="E3" s="68"/>
      <c r="F3" s="68"/>
    </row>
    <row r="4" spans="1:6" ht="26.25" thickBot="1" x14ac:dyDescent="0.3">
      <c r="A4" s="69" t="s">
        <v>0</v>
      </c>
      <c r="B4" s="1" t="s">
        <v>42</v>
      </c>
      <c r="C4" s="1" t="s">
        <v>1</v>
      </c>
      <c r="D4" s="1" t="s">
        <v>43</v>
      </c>
      <c r="E4" s="50" t="s">
        <v>45</v>
      </c>
      <c r="F4" s="2" t="s">
        <v>5</v>
      </c>
    </row>
    <row r="5" spans="1:6" ht="26.25" thickBot="1" x14ac:dyDescent="0.3">
      <c r="A5" s="69"/>
      <c r="B5" s="51" t="s">
        <v>55</v>
      </c>
      <c r="C5" s="52" t="s">
        <v>46</v>
      </c>
      <c r="D5" s="51" t="s">
        <v>63</v>
      </c>
      <c r="E5" s="53" t="s">
        <v>56</v>
      </c>
      <c r="F5" s="52" t="s">
        <v>44</v>
      </c>
    </row>
    <row r="6" spans="1:6" ht="15.75" thickBot="1" x14ac:dyDescent="0.3">
      <c r="A6" s="54" t="s">
        <v>10</v>
      </c>
      <c r="B6" s="8">
        <v>840000</v>
      </c>
      <c r="C6" s="8">
        <v>9235900</v>
      </c>
      <c r="D6" s="8">
        <v>1840000</v>
      </c>
      <c r="E6" s="8">
        <f>30*14000+1060000</f>
        <v>1480000</v>
      </c>
      <c r="F6" s="8">
        <f>220000</f>
        <v>220000</v>
      </c>
    </row>
    <row r="7" spans="1:6" ht="15.75" thickBot="1" x14ac:dyDescent="0.3">
      <c r="A7" s="10" t="s">
        <v>11</v>
      </c>
      <c r="B7" s="49">
        <v>960000</v>
      </c>
      <c r="C7" s="49">
        <v>6400000</v>
      </c>
      <c r="D7" s="49">
        <f>40000*33/2*1.5</f>
        <v>990000</v>
      </c>
      <c r="E7" s="49">
        <v>480000</v>
      </c>
      <c r="F7" s="13">
        <f>480000</f>
        <v>480000</v>
      </c>
    </row>
    <row r="8" spans="1:6" ht="15.75" thickBot="1" x14ac:dyDescent="0.3">
      <c r="A8" s="10" t="s">
        <v>12</v>
      </c>
      <c r="B8" s="49"/>
      <c r="C8" s="49"/>
      <c r="D8" s="49"/>
      <c r="E8" s="49"/>
      <c r="F8" s="13"/>
    </row>
    <row r="9" spans="1:6" ht="15.75" thickBot="1" x14ac:dyDescent="0.3">
      <c r="A9" s="10" t="s">
        <v>13</v>
      </c>
      <c r="B9" s="49">
        <f>G19*0.4</f>
        <v>672000</v>
      </c>
      <c r="C9" s="49">
        <f>G19*0.4</f>
        <v>672000</v>
      </c>
      <c r="D9" s="49">
        <f>G19*0.05</f>
        <v>84000</v>
      </c>
      <c r="E9" s="49">
        <f>G19*0.1</f>
        <v>168000</v>
      </c>
      <c r="F9" s="13">
        <f>G19*0.05</f>
        <v>84000</v>
      </c>
    </row>
    <row r="10" spans="1:6" ht="15.75" thickBot="1" x14ac:dyDescent="0.3">
      <c r="A10" s="56" t="s">
        <v>14</v>
      </c>
      <c r="B10" s="57">
        <f>SUM(B6:B9)</f>
        <v>2472000</v>
      </c>
      <c r="C10" s="57">
        <f>SUM(C6:C9)</f>
        <v>16307900</v>
      </c>
      <c r="D10" s="57">
        <f>SUM(D6:D9)</f>
        <v>2914000</v>
      </c>
      <c r="E10" s="57">
        <f>SUM(E6:E9)</f>
        <v>2128000</v>
      </c>
      <c r="F10" s="57">
        <f>SUM(F6:F9)</f>
        <v>784000</v>
      </c>
    </row>
    <row r="11" spans="1:6" ht="15.75" thickBot="1" x14ac:dyDescent="0.3">
      <c r="A11" s="21" t="s">
        <v>47</v>
      </c>
      <c r="B11" s="78">
        <f>B10+C10+D10+E10+F10</f>
        <v>24605900</v>
      </c>
      <c r="C11" s="78"/>
      <c r="D11" s="78"/>
      <c r="E11" s="78"/>
      <c r="F11" s="78"/>
    </row>
    <row r="12" spans="1:6" ht="15.75" thickBot="1" x14ac:dyDescent="0.3">
      <c r="A12" s="21" t="s">
        <v>16</v>
      </c>
      <c r="B12" s="79">
        <f>B11*0.1</f>
        <v>2460590</v>
      </c>
      <c r="C12" s="79"/>
      <c r="D12" s="79"/>
      <c r="E12" s="79"/>
      <c r="F12" s="79"/>
    </row>
    <row r="13" spans="1:6" ht="15.75" thickBot="1" x14ac:dyDescent="0.3">
      <c r="A13" s="22" t="s">
        <v>17</v>
      </c>
      <c r="B13" s="80">
        <f>B11+B12</f>
        <v>27066490</v>
      </c>
      <c r="C13" s="80"/>
      <c r="D13" s="80"/>
      <c r="E13" s="80"/>
      <c r="F13" s="80"/>
    </row>
    <row r="17" spans="1:7" x14ac:dyDescent="0.25">
      <c r="A17" s="24" t="s">
        <v>18</v>
      </c>
      <c r="B17" s="25" t="s">
        <v>19</v>
      </c>
      <c r="C17" s="26"/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9" t="s">
        <v>23</v>
      </c>
      <c r="C18" s="29"/>
      <c r="D18" s="30"/>
      <c r="E18" s="31"/>
      <c r="F18" s="31"/>
      <c r="G18" s="32"/>
    </row>
    <row r="19" spans="1:7" ht="15.75" x14ac:dyDescent="0.25">
      <c r="A19" s="33">
        <v>1</v>
      </c>
      <c r="B19" s="35" t="s">
        <v>24</v>
      </c>
      <c r="C19" s="36"/>
      <c r="D19" s="37" t="s">
        <v>25</v>
      </c>
      <c r="E19" s="24">
        <v>2400</v>
      </c>
      <c r="F19" s="24">
        <v>700</v>
      </c>
      <c r="G19" s="38">
        <f t="shared" ref="G19" si="0">E19*F19</f>
        <v>1680000</v>
      </c>
    </row>
    <row r="20" spans="1:7" ht="15.75" x14ac:dyDescent="0.25">
      <c r="A20" s="33"/>
      <c r="B20" s="63" t="s">
        <v>26</v>
      </c>
      <c r="C20" s="64"/>
      <c r="D20" s="64"/>
      <c r="E20" s="64"/>
      <c r="F20" s="65"/>
      <c r="G20" s="38">
        <f>G19*0.1</f>
        <v>168000</v>
      </c>
    </row>
    <row r="21" spans="1:7" ht="15.75" x14ac:dyDescent="0.25">
      <c r="A21" s="39"/>
      <c r="B21" s="66" t="s">
        <v>27</v>
      </c>
      <c r="C21" s="66"/>
      <c r="D21" s="66"/>
      <c r="E21" s="40"/>
      <c r="F21" s="41">
        <f>SUM(F19:F19)</f>
        <v>700</v>
      </c>
      <c r="G21" s="42">
        <f>G19+G20</f>
        <v>1848000</v>
      </c>
    </row>
  </sheetData>
  <mergeCells count="7">
    <mergeCell ref="B21:D21"/>
    <mergeCell ref="A1:F3"/>
    <mergeCell ref="A4:A5"/>
    <mergeCell ref="B11:F11"/>
    <mergeCell ref="B12:F12"/>
    <mergeCell ref="B13:F13"/>
    <mergeCell ref="B20:F20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7" sqref="C7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8.42578125" customWidth="1"/>
    <col min="6" max="6" width="12.85546875" customWidth="1"/>
    <col min="7" max="7" width="15.5703125" customWidth="1"/>
    <col min="8" max="8" width="16" customWidth="1"/>
    <col min="9" max="9" width="17.42578125" customWidth="1"/>
  </cols>
  <sheetData>
    <row r="1" spans="1:9" x14ac:dyDescent="0.25">
      <c r="A1" s="67" t="s">
        <v>59</v>
      </c>
      <c r="B1" s="67"/>
      <c r="C1" s="67"/>
      <c r="D1" s="67"/>
      <c r="E1" s="67"/>
      <c r="F1" s="67"/>
      <c r="G1" s="67"/>
      <c r="H1" s="67"/>
      <c r="I1" s="67"/>
    </row>
    <row r="2" spans="1:9" x14ac:dyDescent="0.25">
      <c r="A2" s="67"/>
      <c r="B2" s="67"/>
      <c r="C2" s="67"/>
      <c r="D2" s="67"/>
      <c r="E2" s="67"/>
      <c r="F2" s="67"/>
      <c r="G2" s="67"/>
      <c r="H2" s="67"/>
      <c r="I2" s="67"/>
    </row>
    <row r="3" spans="1:9" ht="15.75" thickBot="1" x14ac:dyDescent="0.3">
      <c r="A3" s="68"/>
      <c r="B3" s="68"/>
      <c r="C3" s="68"/>
      <c r="D3" s="68"/>
      <c r="E3" s="68"/>
      <c r="F3" s="68"/>
      <c r="G3" s="68"/>
      <c r="H3" s="68"/>
      <c r="I3" s="68"/>
    </row>
    <row r="4" spans="1:9" ht="39" thickBot="1" x14ac:dyDescent="0.3">
      <c r="A4" s="69" t="s">
        <v>0</v>
      </c>
      <c r="B4" s="58" t="s">
        <v>42</v>
      </c>
      <c r="C4" s="58" t="s">
        <v>1</v>
      </c>
      <c r="D4" s="1" t="s">
        <v>43</v>
      </c>
      <c r="E4" s="1" t="s">
        <v>37</v>
      </c>
      <c r="F4" s="1" t="s">
        <v>2</v>
      </c>
      <c r="G4" s="58" t="s">
        <v>3</v>
      </c>
      <c r="H4" s="1" t="s">
        <v>4</v>
      </c>
      <c r="I4" s="2" t="s">
        <v>5</v>
      </c>
    </row>
    <row r="5" spans="1:9" ht="26.25" thickBot="1" x14ac:dyDescent="0.3">
      <c r="A5" s="69"/>
      <c r="B5" s="3" t="s">
        <v>60</v>
      </c>
      <c r="C5" s="3" t="s">
        <v>61</v>
      </c>
      <c r="D5" s="3" t="s">
        <v>63</v>
      </c>
      <c r="E5" s="3" t="s">
        <v>38</v>
      </c>
      <c r="F5" s="4" t="s">
        <v>6</v>
      </c>
      <c r="G5" s="59" t="s">
        <v>62</v>
      </c>
      <c r="H5" s="6" t="s">
        <v>8</v>
      </c>
      <c r="I5" s="6" t="s">
        <v>44</v>
      </c>
    </row>
    <row r="6" spans="1:9" ht="15.75" thickBot="1" x14ac:dyDescent="0.3">
      <c r="A6" s="7" t="s">
        <v>10</v>
      </c>
      <c r="B6" s="8">
        <v>6508000</v>
      </c>
      <c r="C6" s="8">
        <v>10435900</v>
      </c>
      <c r="D6" s="8">
        <v>1840000</v>
      </c>
      <c r="E6" s="8"/>
      <c r="F6" s="60" t="s">
        <v>58</v>
      </c>
      <c r="G6" s="55">
        <f>3*280000+150*5000+1060000</f>
        <v>2650000</v>
      </c>
      <c r="H6" s="9">
        <v>50000</v>
      </c>
      <c r="I6" s="8">
        <v>220000</v>
      </c>
    </row>
    <row r="7" spans="1:9" ht="15.75" thickBot="1" x14ac:dyDescent="0.3">
      <c r="A7" s="10" t="s">
        <v>11</v>
      </c>
      <c r="B7" s="11">
        <f>40000*60</f>
        <v>2400000</v>
      </c>
      <c r="C7" s="11">
        <v>3600000</v>
      </c>
      <c r="D7" s="11">
        <f>16500*60</f>
        <v>990000</v>
      </c>
      <c r="E7" s="11">
        <v>160000</v>
      </c>
      <c r="F7" s="12">
        <f>40000*2.25*2</f>
        <v>180000</v>
      </c>
      <c r="G7" s="49">
        <f>40000*30</f>
        <v>1200000</v>
      </c>
      <c r="H7" s="14">
        <f>40000*6</f>
        <v>240000</v>
      </c>
      <c r="I7" s="14">
        <f>480000</f>
        <v>480000</v>
      </c>
    </row>
    <row r="8" spans="1:9" ht="15.75" thickBot="1" x14ac:dyDescent="0.3">
      <c r="A8" s="10" t="s">
        <v>12</v>
      </c>
      <c r="B8" s="49">
        <f>40000*60</f>
        <v>2400000</v>
      </c>
      <c r="C8" s="11">
        <v>3600000</v>
      </c>
      <c r="D8" s="49">
        <f>16500*60</f>
        <v>990000</v>
      </c>
      <c r="E8" s="49">
        <v>160000</v>
      </c>
      <c r="F8" s="15">
        <f>40000*2.25*2</f>
        <v>180000</v>
      </c>
      <c r="G8" s="12">
        <v>1200000</v>
      </c>
      <c r="H8" s="13">
        <f>40000*6</f>
        <v>240000</v>
      </c>
      <c r="I8" s="13">
        <f>480000</f>
        <v>480000</v>
      </c>
    </row>
    <row r="9" spans="1:9" ht="15.75" thickBot="1" x14ac:dyDescent="0.3">
      <c r="A9" s="10" t="s">
        <v>13</v>
      </c>
      <c r="B9" s="49">
        <f>F22*0.3</f>
        <v>1152000</v>
      </c>
      <c r="C9" s="49">
        <f>F22*0.3</f>
        <v>1152000</v>
      </c>
      <c r="D9" s="49">
        <f>F22*0.1</f>
        <v>384000</v>
      </c>
      <c r="E9" s="49">
        <f>F22*0.05</f>
        <v>192000</v>
      </c>
      <c r="F9" s="49">
        <f>F22*0.05</f>
        <v>192000</v>
      </c>
      <c r="G9" s="49">
        <v>0</v>
      </c>
      <c r="H9" s="49">
        <f>F22*0.05</f>
        <v>192000</v>
      </c>
      <c r="I9" s="49">
        <f>F22*0.05</f>
        <v>192000</v>
      </c>
    </row>
    <row r="10" spans="1:9" ht="15.75" thickBot="1" x14ac:dyDescent="0.3">
      <c r="A10" s="17" t="s">
        <v>14</v>
      </c>
      <c r="B10" s="19">
        <f t="shared" ref="B10:I10" si="0">SUM(B6:B9)</f>
        <v>12460000</v>
      </c>
      <c r="C10" s="19">
        <f t="shared" si="0"/>
        <v>18787900</v>
      </c>
      <c r="D10" s="19">
        <f t="shared" si="0"/>
        <v>4204000</v>
      </c>
      <c r="E10" s="19">
        <f>E6+E7+E8+E9</f>
        <v>512000</v>
      </c>
      <c r="F10" s="19">
        <f t="shared" si="0"/>
        <v>552000</v>
      </c>
      <c r="G10" s="19">
        <f t="shared" si="0"/>
        <v>5050000</v>
      </c>
      <c r="H10" s="19">
        <f t="shared" si="0"/>
        <v>722000</v>
      </c>
      <c r="I10" s="19">
        <f t="shared" si="0"/>
        <v>1372000</v>
      </c>
    </row>
    <row r="11" spans="1:9" ht="15.75" thickBot="1" x14ac:dyDescent="0.3">
      <c r="A11" s="20" t="s">
        <v>15</v>
      </c>
      <c r="B11" s="83">
        <f>B10+C10+D10+F10+H10+I10+E10+G10</f>
        <v>43659900</v>
      </c>
      <c r="C11" s="83"/>
      <c r="D11" s="83"/>
      <c r="E11" s="83"/>
      <c r="F11" s="83"/>
      <c r="G11" s="83"/>
      <c r="H11" s="83"/>
      <c r="I11" s="83"/>
    </row>
    <row r="12" spans="1:9" ht="15.75" thickBot="1" x14ac:dyDescent="0.3">
      <c r="A12" s="21" t="s">
        <v>16</v>
      </c>
      <c r="B12" s="79">
        <f>B11*0.1</f>
        <v>4365990</v>
      </c>
      <c r="C12" s="79"/>
      <c r="D12" s="79"/>
      <c r="E12" s="79"/>
      <c r="F12" s="79"/>
      <c r="G12" s="79"/>
      <c r="H12" s="79"/>
      <c r="I12" s="79"/>
    </row>
    <row r="13" spans="1:9" ht="15.75" thickBot="1" x14ac:dyDescent="0.3">
      <c r="A13" s="22" t="s">
        <v>17</v>
      </c>
      <c r="B13" s="80">
        <f>B11+B12</f>
        <v>48025890</v>
      </c>
      <c r="C13" s="80"/>
      <c r="D13" s="80"/>
      <c r="E13" s="80"/>
      <c r="F13" s="80"/>
      <c r="G13" s="80"/>
      <c r="H13" s="80"/>
      <c r="I13" s="80"/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5"/>
      <c r="B19" s="85"/>
      <c r="C19" s="85"/>
      <c r="D19" s="85"/>
      <c r="E19" s="85"/>
      <c r="F19" s="85"/>
    </row>
    <row r="20" spans="1:6" x14ac:dyDescent="0.25">
      <c r="A20" s="24" t="s">
        <v>18</v>
      </c>
      <c r="B20" s="81" t="s">
        <v>19</v>
      </c>
      <c r="C20" s="82"/>
      <c r="D20" s="24" t="s">
        <v>20</v>
      </c>
      <c r="E20" s="24" t="s">
        <v>21</v>
      </c>
      <c r="F20" s="24" t="s">
        <v>22</v>
      </c>
    </row>
    <row r="21" spans="1:6" x14ac:dyDescent="0.25">
      <c r="A21" s="28"/>
      <c r="B21" s="29" t="s">
        <v>23</v>
      </c>
      <c r="C21" s="30"/>
      <c r="D21" s="31"/>
      <c r="E21" s="31"/>
      <c r="F21" s="32"/>
    </row>
    <row r="22" spans="1:6" ht="15.75" x14ac:dyDescent="0.25">
      <c r="A22" s="33">
        <v>1</v>
      </c>
      <c r="B22" s="35" t="s">
        <v>24</v>
      </c>
      <c r="C22" s="37" t="s">
        <v>25</v>
      </c>
      <c r="D22" s="24">
        <v>2400</v>
      </c>
      <c r="E22" s="24">
        <v>1600</v>
      </c>
      <c r="F22" s="38">
        <f t="shared" ref="F22" si="1">D22*E22</f>
        <v>3840000</v>
      </c>
    </row>
    <row r="23" spans="1:6" ht="15.75" x14ac:dyDescent="0.25">
      <c r="A23" s="33"/>
      <c r="B23" s="63" t="s">
        <v>26</v>
      </c>
      <c r="C23" s="64"/>
      <c r="D23" s="64"/>
      <c r="E23" s="65"/>
      <c r="F23" s="38">
        <f>(F22)*0.1</f>
        <v>384000</v>
      </c>
    </row>
    <row r="24" spans="1:6" ht="15.75" x14ac:dyDescent="0.25">
      <c r="A24" s="39"/>
      <c r="B24" s="66" t="s">
        <v>27</v>
      </c>
      <c r="C24" s="66"/>
      <c r="D24" s="40"/>
      <c r="E24" s="41">
        <f>SUM(E22:E22)</f>
        <v>1600</v>
      </c>
      <c r="F24" s="42">
        <f>F22+F23</f>
        <v>4224000</v>
      </c>
    </row>
  </sheetData>
  <mergeCells count="9">
    <mergeCell ref="B20:C20"/>
    <mergeCell ref="B23:E23"/>
    <mergeCell ref="B24:C24"/>
    <mergeCell ref="A1:I3"/>
    <mergeCell ref="A4:A5"/>
    <mergeCell ref="B11:I11"/>
    <mergeCell ref="B12:I12"/>
    <mergeCell ref="B13:I13"/>
    <mergeCell ref="A18:F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6" sqref="E6"/>
    </sheetView>
  </sheetViews>
  <sheetFormatPr defaultRowHeight="15" x14ac:dyDescent="0.25"/>
  <cols>
    <col min="1" max="2" width="21" customWidth="1"/>
    <col min="3" max="3" width="20.140625" customWidth="1"/>
    <col min="4" max="6" width="15.5703125" customWidth="1"/>
    <col min="7" max="7" width="16.5703125" customWidth="1"/>
  </cols>
  <sheetData>
    <row r="1" spans="1:7" x14ac:dyDescent="0.25">
      <c r="A1" s="67" t="s">
        <v>40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5.75" thickBot="1" x14ac:dyDescent="0.3">
      <c r="A3" s="68"/>
      <c r="B3" s="68"/>
      <c r="C3" s="68"/>
      <c r="D3" s="68"/>
      <c r="E3" s="68"/>
      <c r="F3" s="68"/>
      <c r="G3" s="68"/>
    </row>
    <row r="4" spans="1:7" ht="39" thickBot="1" x14ac:dyDescent="0.3">
      <c r="A4" s="69" t="s">
        <v>0</v>
      </c>
      <c r="B4" s="1" t="s">
        <v>1</v>
      </c>
      <c r="C4" s="48" t="s">
        <v>2</v>
      </c>
      <c r="D4" s="1" t="s">
        <v>37</v>
      </c>
      <c r="E4" s="1" t="s">
        <v>3</v>
      </c>
      <c r="F4" s="1" t="s">
        <v>4</v>
      </c>
      <c r="G4" s="2" t="s">
        <v>5</v>
      </c>
    </row>
    <row r="5" spans="1:7" ht="26.25" thickBot="1" x14ac:dyDescent="0.3">
      <c r="A5" s="69"/>
      <c r="B5" s="3" t="s">
        <v>41</v>
      </c>
      <c r="C5" s="4" t="s">
        <v>6</v>
      </c>
      <c r="D5" s="3" t="s">
        <v>38</v>
      </c>
      <c r="E5" s="4" t="s">
        <v>30</v>
      </c>
      <c r="F5" s="5" t="s">
        <v>8</v>
      </c>
      <c r="G5" s="6" t="s">
        <v>9</v>
      </c>
    </row>
    <row r="6" spans="1:7" ht="15.75" thickBot="1" x14ac:dyDescent="0.3">
      <c r="A6" s="7" t="s">
        <v>10</v>
      </c>
      <c r="B6" s="8">
        <f>80000*3+80000</f>
        <v>320000</v>
      </c>
      <c r="C6" s="9"/>
      <c r="D6" s="9"/>
      <c r="E6" s="9">
        <f>1060000+20*12000</f>
        <v>1300000</v>
      </c>
      <c r="F6" s="8">
        <v>50000</v>
      </c>
      <c r="G6" s="8"/>
    </row>
    <row r="7" spans="1:7" ht="15.75" thickBot="1" x14ac:dyDescent="0.3">
      <c r="A7" s="10" t="s">
        <v>11</v>
      </c>
      <c r="B7" s="11">
        <v>200000</v>
      </c>
      <c r="C7" s="12">
        <v>90000</v>
      </c>
      <c r="D7" s="12">
        <v>160000</v>
      </c>
      <c r="E7" s="12">
        <v>80000</v>
      </c>
      <c r="F7" s="13">
        <v>480000</v>
      </c>
      <c r="G7" s="14">
        <v>40000</v>
      </c>
    </row>
    <row r="8" spans="1:7" ht="15.75" thickBot="1" x14ac:dyDescent="0.3">
      <c r="A8" s="10" t="s">
        <v>12</v>
      </c>
      <c r="B8" s="11">
        <v>200000</v>
      </c>
      <c r="C8" s="12">
        <v>90000</v>
      </c>
      <c r="D8" s="12">
        <v>160000</v>
      </c>
      <c r="E8" s="12">
        <v>80000</v>
      </c>
      <c r="F8" s="13">
        <v>480000</v>
      </c>
      <c r="G8" s="14">
        <v>40000</v>
      </c>
    </row>
    <row r="9" spans="1:7" ht="15.75" thickBot="1" x14ac:dyDescent="0.3">
      <c r="A9" s="10" t="s">
        <v>13</v>
      </c>
      <c r="B9" s="8">
        <f>G19*0.3</f>
        <v>252000</v>
      </c>
      <c r="C9" s="8">
        <f>G19*0.1</f>
        <v>84000</v>
      </c>
      <c r="D9" s="8">
        <f>G19*0.1</f>
        <v>84000</v>
      </c>
      <c r="E9" s="8">
        <f>G19*0.1</f>
        <v>84000</v>
      </c>
      <c r="F9" s="8">
        <f>G19*0.4</f>
        <v>336000</v>
      </c>
      <c r="G9" s="16"/>
    </row>
    <row r="10" spans="1:7" ht="15.75" thickBot="1" x14ac:dyDescent="0.3">
      <c r="A10" s="17" t="s">
        <v>14</v>
      </c>
      <c r="B10" s="19">
        <f t="shared" ref="B10:D10" si="0">SUM(B6:B9)</f>
        <v>972000</v>
      </c>
      <c r="C10" s="19">
        <f t="shared" si="0"/>
        <v>264000</v>
      </c>
      <c r="D10" s="19">
        <f t="shared" si="0"/>
        <v>404000</v>
      </c>
      <c r="E10" s="19">
        <f>SUM(E6:E9)</f>
        <v>1544000</v>
      </c>
      <c r="F10" s="18">
        <f>SUM(F6:F9)</f>
        <v>1346000</v>
      </c>
      <c r="G10" s="19">
        <f>G7+G8+G9+G6</f>
        <v>80000</v>
      </c>
    </row>
    <row r="11" spans="1:7" ht="15.75" thickBot="1" x14ac:dyDescent="0.3">
      <c r="A11" s="20" t="s">
        <v>15</v>
      </c>
      <c r="B11" s="86">
        <f>C10+D10+E10+F10+G10+B10</f>
        <v>4610000</v>
      </c>
      <c r="C11" s="72"/>
      <c r="D11" s="72"/>
      <c r="E11" s="72"/>
      <c r="F11" s="72"/>
      <c r="G11" s="73"/>
    </row>
    <row r="12" spans="1:7" ht="15.75" thickBot="1" x14ac:dyDescent="0.3">
      <c r="A12" s="21" t="s">
        <v>16</v>
      </c>
      <c r="B12" s="87">
        <f>B11*0.1</f>
        <v>461000</v>
      </c>
      <c r="C12" s="74"/>
      <c r="D12" s="74"/>
      <c r="E12" s="74"/>
      <c r="F12" s="74"/>
      <c r="G12" s="75"/>
    </row>
    <row r="13" spans="1:7" ht="15.75" thickBot="1" x14ac:dyDescent="0.3">
      <c r="A13" s="22" t="s">
        <v>17</v>
      </c>
      <c r="B13" s="88">
        <f>B11+B12</f>
        <v>5071000</v>
      </c>
      <c r="C13" s="76"/>
      <c r="D13" s="76"/>
      <c r="E13" s="76"/>
      <c r="F13" s="76"/>
      <c r="G13" s="77"/>
    </row>
    <row r="16" spans="1:7" ht="18.75" x14ac:dyDescent="0.3">
      <c r="C16" s="23"/>
    </row>
    <row r="17" spans="1:7" x14ac:dyDescent="0.25">
      <c r="A17" s="24" t="s">
        <v>18</v>
      </c>
      <c r="B17" s="25"/>
      <c r="C17" s="25" t="s">
        <v>19</v>
      </c>
      <c r="D17" s="27"/>
      <c r="E17" s="24" t="s">
        <v>20</v>
      </c>
      <c r="F17" s="24" t="s">
        <v>21</v>
      </c>
      <c r="G17" s="24" t="s">
        <v>22</v>
      </c>
    </row>
    <row r="18" spans="1:7" x14ac:dyDescent="0.25">
      <c r="A18" s="28"/>
      <c r="B18" s="28"/>
      <c r="C18" s="29" t="s">
        <v>23</v>
      </c>
      <c r="D18" s="30"/>
      <c r="E18" s="31"/>
      <c r="F18" s="31"/>
      <c r="G18" s="32"/>
    </row>
    <row r="19" spans="1:7" ht="15.75" x14ac:dyDescent="0.25">
      <c r="A19" s="33">
        <v>1</v>
      </c>
      <c r="B19" s="34"/>
      <c r="C19" s="35" t="s">
        <v>24</v>
      </c>
      <c r="D19" s="37" t="s">
        <v>25</v>
      </c>
      <c r="E19" s="24">
        <v>1200</v>
      </c>
      <c r="F19" s="24">
        <v>700</v>
      </c>
      <c r="G19" s="38">
        <f t="shared" ref="G19" si="1">E19*F19</f>
        <v>840000</v>
      </c>
    </row>
    <row r="20" spans="1:7" ht="15.75" x14ac:dyDescent="0.25">
      <c r="A20" s="33"/>
      <c r="B20" s="34"/>
      <c r="C20" s="63" t="s">
        <v>26</v>
      </c>
      <c r="D20" s="64"/>
      <c r="E20" s="64"/>
      <c r="F20" s="65"/>
      <c r="G20" s="38">
        <f>G19*0.1</f>
        <v>84000</v>
      </c>
    </row>
    <row r="21" spans="1:7" ht="15.75" x14ac:dyDescent="0.25">
      <c r="A21" s="39"/>
      <c r="B21" s="39"/>
      <c r="C21" s="66" t="s">
        <v>27</v>
      </c>
      <c r="D21" s="66"/>
      <c r="E21" s="40"/>
      <c r="F21" s="41">
        <f>SUM(F19:F19)</f>
        <v>700</v>
      </c>
      <c r="G21" s="42">
        <f>G19+G20</f>
        <v>924000</v>
      </c>
    </row>
  </sheetData>
  <mergeCells count="7">
    <mergeCell ref="C20:F20"/>
    <mergeCell ref="C21:D21"/>
    <mergeCell ref="A1:G3"/>
    <mergeCell ref="A4:A5"/>
    <mergeCell ref="B11:G11"/>
    <mergeCell ref="B12:G12"/>
    <mergeCell ref="B13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9" sqref="C9"/>
    </sheetView>
  </sheetViews>
  <sheetFormatPr defaultRowHeight="15" x14ac:dyDescent="0.25"/>
  <cols>
    <col min="1" max="1" width="21" customWidth="1"/>
    <col min="2" max="2" width="15.85546875" customWidth="1"/>
    <col min="3" max="3" width="12.28515625" customWidth="1"/>
    <col min="4" max="4" width="11.42578125" customWidth="1"/>
    <col min="5" max="5" width="18.42578125" customWidth="1"/>
    <col min="6" max="6" width="12.85546875" customWidth="1"/>
    <col min="7" max="7" width="15.5703125" customWidth="1"/>
    <col min="8" max="8" width="16" customWidth="1"/>
    <col min="9" max="9" width="17.42578125" customWidth="1"/>
  </cols>
  <sheetData>
    <row r="1" spans="1:9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</row>
    <row r="2" spans="1:9" x14ac:dyDescent="0.25">
      <c r="A2" s="67"/>
      <c r="B2" s="67"/>
      <c r="C2" s="67"/>
      <c r="D2" s="67"/>
      <c r="E2" s="67"/>
      <c r="F2" s="67"/>
      <c r="G2" s="67"/>
      <c r="H2" s="67"/>
      <c r="I2" s="67"/>
    </row>
    <row r="3" spans="1:9" ht="15.75" thickBot="1" x14ac:dyDescent="0.3">
      <c r="A3" s="68"/>
      <c r="B3" s="68"/>
      <c r="C3" s="68"/>
      <c r="D3" s="68"/>
      <c r="E3" s="68"/>
      <c r="F3" s="68"/>
      <c r="G3" s="68"/>
      <c r="H3" s="68"/>
      <c r="I3" s="68"/>
    </row>
    <row r="4" spans="1:9" ht="39" thickBot="1" x14ac:dyDescent="0.3">
      <c r="A4" s="69" t="s">
        <v>0</v>
      </c>
      <c r="B4" s="58" t="s">
        <v>42</v>
      </c>
      <c r="C4" s="58" t="s">
        <v>1</v>
      </c>
      <c r="D4" s="1" t="s">
        <v>43</v>
      </c>
      <c r="E4" s="1" t="s">
        <v>37</v>
      </c>
      <c r="F4" s="1" t="s">
        <v>2</v>
      </c>
      <c r="G4" s="58" t="s">
        <v>3</v>
      </c>
      <c r="H4" s="1" t="s">
        <v>4</v>
      </c>
      <c r="I4" s="2" t="s">
        <v>5</v>
      </c>
    </row>
    <row r="5" spans="1:9" ht="26.25" thickBot="1" x14ac:dyDescent="0.3">
      <c r="A5" s="69"/>
      <c r="B5" s="3" t="s">
        <v>60</v>
      </c>
      <c r="C5" s="3" t="s">
        <v>57</v>
      </c>
      <c r="D5" s="3" t="s">
        <v>63</v>
      </c>
      <c r="E5" s="3" t="s">
        <v>38</v>
      </c>
      <c r="F5" s="4" t="s">
        <v>6</v>
      </c>
      <c r="G5" s="59" t="s">
        <v>65</v>
      </c>
      <c r="H5" s="6" t="s">
        <v>8</v>
      </c>
      <c r="I5" s="6" t="s">
        <v>44</v>
      </c>
    </row>
    <row r="6" spans="1:9" ht="15.75" thickBot="1" x14ac:dyDescent="0.3">
      <c r="A6" s="7" t="s">
        <v>10</v>
      </c>
      <c r="B6" s="8">
        <v>6508000</v>
      </c>
      <c r="C6" s="8">
        <v>12635900</v>
      </c>
      <c r="D6" s="8">
        <v>1840000</v>
      </c>
      <c r="E6" s="8"/>
      <c r="F6" s="60" t="s">
        <v>58</v>
      </c>
      <c r="G6" s="55">
        <f>9*280000+450*5000+1060000</f>
        <v>5830000</v>
      </c>
      <c r="H6" s="9">
        <v>50000</v>
      </c>
      <c r="I6" s="8">
        <v>220000</v>
      </c>
    </row>
    <row r="7" spans="1:9" ht="15.75" thickBot="1" x14ac:dyDescent="0.3">
      <c r="A7" s="10" t="s">
        <v>11</v>
      </c>
      <c r="B7" s="11">
        <f>40000*60</f>
        <v>2400000</v>
      </c>
      <c r="C7" s="11">
        <v>4800000</v>
      </c>
      <c r="D7" s="11">
        <f>16500*60</f>
        <v>990000</v>
      </c>
      <c r="E7" s="11">
        <v>160000</v>
      </c>
      <c r="F7" s="12">
        <f>40000*2.25*2</f>
        <v>180000</v>
      </c>
      <c r="G7" s="49">
        <v>2400000</v>
      </c>
      <c r="H7" s="14">
        <f>40000*6</f>
        <v>240000</v>
      </c>
      <c r="I7" s="14">
        <f>480000</f>
        <v>480000</v>
      </c>
    </row>
    <row r="8" spans="1:9" ht="15.75" thickBot="1" x14ac:dyDescent="0.3">
      <c r="A8" s="10" t="s">
        <v>12</v>
      </c>
      <c r="B8" s="49">
        <f>40000*60</f>
        <v>2400000</v>
      </c>
      <c r="C8" s="11">
        <v>4800000</v>
      </c>
      <c r="D8" s="49">
        <f>16500*60</f>
        <v>990000</v>
      </c>
      <c r="E8" s="49">
        <v>160000</v>
      </c>
      <c r="F8" s="15">
        <f>40000*2.25*2</f>
        <v>180000</v>
      </c>
      <c r="G8" s="12">
        <v>2400000</v>
      </c>
      <c r="H8" s="13">
        <f>40000*6</f>
        <v>240000</v>
      </c>
      <c r="I8" s="13">
        <f>480000</f>
        <v>480000</v>
      </c>
    </row>
    <row r="9" spans="1:9" ht="15.75" thickBot="1" x14ac:dyDescent="0.3">
      <c r="A9" s="10" t="s">
        <v>13</v>
      </c>
      <c r="B9" s="49">
        <f>F22*0.2</f>
        <v>768000</v>
      </c>
      <c r="C9" s="49">
        <f>F22*0.3</f>
        <v>1152000</v>
      </c>
      <c r="D9" s="49">
        <f>F22*0.1</f>
        <v>384000</v>
      </c>
      <c r="E9" s="49">
        <f>F22*0.05</f>
        <v>192000</v>
      </c>
      <c r="F9" s="49">
        <f>F22*0.05</f>
        <v>192000</v>
      </c>
      <c r="G9" s="49">
        <f>F22*0.2</f>
        <v>768000</v>
      </c>
      <c r="H9" s="49">
        <f>F22*0.05</f>
        <v>192000</v>
      </c>
      <c r="I9" s="49">
        <f>F22*0.05</f>
        <v>192000</v>
      </c>
    </row>
    <row r="10" spans="1:9" ht="15.75" thickBot="1" x14ac:dyDescent="0.3">
      <c r="A10" s="17" t="s">
        <v>14</v>
      </c>
      <c r="B10" s="19">
        <f t="shared" ref="B10:I10" si="0">SUM(B6:B9)</f>
        <v>12076000</v>
      </c>
      <c r="C10" s="19">
        <f t="shared" si="0"/>
        <v>23387900</v>
      </c>
      <c r="D10" s="19">
        <f t="shared" si="0"/>
        <v>4204000</v>
      </c>
      <c r="E10" s="19">
        <f>E6+E7+E8+E9</f>
        <v>512000</v>
      </c>
      <c r="F10" s="19">
        <f t="shared" si="0"/>
        <v>552000</v>
      </c>
      <c r="G10" s="19">
        <f t="shared" si="0"/>
        <v>11398000</v>
      </c>
      <c r="H10" s="19">
        <f t="shared" si="0"/>
        <v>722000</v>
      </c>
      <c r="I10" s="19">
        <f t="shared" si="0"/>
        <v>1372000</v>
      </c>
    </row>
    <row r="11" spans="1:9" ht="15.75" thickBot="1" x14ac:dyDescent="0.3">
      <c r="A11" s="20" t="s">
        <v>15</v>
      </c>
      <c r="B11" s="83">
        <f>B10+C10+D10+F10+H10+I10+E10+G10</f>
        <v>54223900</v>
      </c>
      <c r="C11" s="83"/>
      <c r="D11" s="83"/>
      <c r="E11" s="83"/>
      <c r="F11" s="83"/>
      <c r="G11" s="83"/>
      <c r="H11" s="83"/>
      <c r="I11" s="83"/>
    </row>
    <row r="12" spans="1:9" ht="15.75" thickBot="1" x14ac:dyDescent="0.3">
      <c r="A12" s="21" t="s">
        <v>16</v>
      </c>
      <c r="B12" s="79">
        <f>B11*0.1</f>
        <v>5422390</v>
      </c>
      <c r="C12" s="79"/>
      <c r="D12" s="79"/>
      <c r="E12" s="79"/>
      <c r="F12" s="79"/>
      <c r="G12" s="79"/>
      <c r="H12" s="79"/>
      <c r="I12" s="79"/>
    </row>
    <row r="13" spans="1:9" ht="15.75" thickBot="1" x14ac:dyDescent="0.3">
      <c r="A13" s="22" t="s">
        <v>17</v>
      </c>
      <c r="B13" s="80">
        <f>B11+B12</f>
        <v>59646290</v>
      </c>
      <c r="C13" s="80"/>
      <c r="D13" s="80"/>
      <c r="E13" s="80"/>
      <c r="F13" s="80"/>
      <c r="G13" s="80"/>
      <c r="H13" s="80"/>
      <c r="I13" s="80"/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5"/>
      <c r="B19" s="85"/>
      <c r="C19" s="85"/>
      <c r="D19" s="85"/>
      <c r="E19" s="85"/>
      <c r="F19" s="85"/>
    </row>
    <row r="20" spans="1:6" x14ac:dyDescent="0.25">
      <c r="A20" s="24" t="s">
        <v>18</v>
      </c>
      <c r="B20" s="81" t="s">
        <v>19</v>
      </c>
      <c r="C20" s="82"/>
      <c r="D20" s="24" t="s">
        <v>20</v>
      </c>
      <c r="E20" s="24" t="s">
        <v>21</v>
      </c>
      <c r="F20" s="24" t="s">
        <v>22</v>
      </c>
    </row>
    <row r="21" spans="1:6" x14ac:dyDescent="0.25">
      <c r="A21" s="28"/>
      <c r="B21" s="29" t="s">
        <v>23</v>
      </c>
      <c r="C21" s="30"/>
      <c r="D21" s="31"/>
      <c r="E21" s="31"/>
      <c r="F21" s="32"/>
    </row>
    <row r="22" spans="1:6" ht="15.75" x14ac:dyDescent="0.25">
      <c r="A22" s="33">
        <v>1</v>
      </c>
      <c r="B22" s="35" t="s">
        <v>24</v>
      </c>
      <c r="C22" s="37" t="s">
        <v>25</v>
      </c>
      <c r="D22" s="24">
        <v>2400</v>
      </c>
      <c r="E22" s="24">
        <v>1600</v>
      </c>
      <c r="F22" s="38">
        <f t="shared" ref="F22" si="1">D22*E22</f>
        <v>3840000</v>
      </c>
    </row>
    <row r="23" spans="1:6" ht="15.75" x14ac:dyDescent="0.25">
      <c r="A23" s="33"/>
      <c r="B23" s="63" t="s">
        <v>26</v>
      </c>
      <c r="C23" s="64"/>
      <c r="D23" s="64"/>
      <c r="E23" s="65"/>
      <c r="F23" s="38">
        <f>(F22)*0.1</f>
        <v>384000</v>
      </c>
    </row>
    <row r="24" spans="1:6" ht="15.75" x14ac:dyDescent="0.25">
      <c r="A24" s="39"/>
      <c r="B24" s="66" t="s">
        <v>27</v>
      </c>
      <c r="C24" s="66"/>
      <c r="D24" s="40"/>
      <c r="E24" s="41">
        <f>SUM(E22:E22)</f>
        <v>1600</v>
      </c>
      <c r="F24" s="42">
        <f>F22+F23</f>
        <v>4224000</v>
      </c>
    </row>
  </sheetData>
  <mergeCells count="9">
    <mergeCell ref="B20:C20"/>
    <mergeCell ref="B23:E23"/>
    <mergeCell ref="B24:C24"/>
    <mergeCell ref="A1:I3"/>
    <mergeCell ref="A4:A5"/>
    <mergeCell ref="B11:I11"/>
    <mergeCell ref="B12:I12"/>
    <mergeCell ref="B13:I13"/>
    <mergeCell ref="A18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Сансар Колонк</vt:lpstr>
      <vt:lpstr>Ургах наран цаана</vt:lpstr>
      <vt:lpstr>King tower</vt:lpstr>
      <vt:lpstr>Төв аймаг зам дагуу</vt:lpstr>
      <vt:lpstr>Алтанөлгий Эрдэнэтолгой</vt:lpstr>
      <vt:lpstr>Шархад Нарийний ферм</vt:lpstr>
      <vt:lpstr>Станцын хойно гэр хороолол</vt:lpstr>
      <vt:lpstr>дорнод РТВ</vt:lpstr>
      <vt:lpstr>Зүүн гэр хороолол</vt:lpstr>
      <vt:lpstr>Богины ам</vt:lpstr>
      <vt:lpstr>Happy town</vt:lpstr>
      <vt:lpstr>Тахилт эцэс</vt:lpstr>
      <vt:lpstr>Хэнтий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2018-03-16T18:26:41Z</dcterms:modified>
</cp:coreProperties>
</file>