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cba2b03be8e518/Documents/GitHub/3d-Printer-Calculator/"/>
    </mc:Choice>
  </mc:AlternateContent>
  <xr:revisionPtr revIDLastSave="2" documentId="8_{EC08100E-0BB6-4DD2-B702-1459A8C77A35}" xr6:coauthVersionLast="47" xr6:coauthVersionMax="47" xr10:uidLastSave="{47C2BF73-A891-4C9E-8F2A-BEE33404391A}"/>
  <bookViews>
    <workbookView xWindow="-120" yWindow="-120" windowWidth="38640" windowHeight="21120" activeTab="1" xr2:uid="{588C2B6A-A245-4C21-AAEE-D1D16DE1A5DF}"/>
  </bookViews>
  <sheets>
    <sheet name="Quote" sheetId="1" r:id="rId1"/>
    <sheet name="Formula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D35" i="1"/>
  <c r="B35" i="1"/>
  <c r="F35" i="1" s="1"/>
  <c r="D38" i="1" s="1"/>
  <c r="B41" i="1" s="1"/>
  <c r="B31" i="1"/>
  <c r="B30" i="1"/>
  <c r="B20" i="1"/>
  <c r="D17" i="1"/>
  <c r="B16" i="1"/>
  <c r="D14" i="1"/>
  <c r="B11" i="1"/>
  <c r="D8" i="1"/>
  <c r="B7" i="1"/>
  <c r="D5" i="1"/>
  <c r="B1" i="1"/>
</calcChain>
</file>

<file path=xl/sharedStrings.xml><?xml version="1.0" encoding="utf-8"?>
<sst xmlns="http://schemas.openxmlformats.org/spreadsheetml/2006/main" count="46" uniqueCount="39">
  <si>
    <t>Material Cost</t>
  </si>
  <si>
    <t>Print Cost</t>
  </si>
  <si>
    <t>Electricity Cost</t>
  </si>
  <si>
    <t>Labour Cost</t>
  </si>
  <si>
    <t>Waste</t>
  </si>
  <si>
    <t>TOTAL:</t>
  </si>
  <si>
    <t>Printer purchase price</t>
  </si>
  <si>
    <t>TAX/VAT/GST %</t>
  </si>
  <si>
    <t>TAX/VAT/GST</t>
  </si>
  <si>
    <t xml:space="preserve">Equipment Costs (Maintenance/Depreciation) </t>
  </si>
  <si>
    <t>Weight of waste material (g)</t>
  </si>
  <si>
    <t xml:space="preserve">Failed Print </t>
  </si>
  <si>
    <t>multiplied and added with</t>
  </si>
  <si>
    <t>equals</t>
  </si>
  <si>
    <t>Y</t>
  </si>
  <si>
    <t>Y/N?</t>
  </si>
  <si>
    <t>which is equal to:</t>
  </si>
  <si>
    <t>hrs</t>
  </si>
  <si>
    <t>Manual</t>
  </si>
  <si>
    <t>Auto (Don't Touch)</t>
  </si>
  <si>
    <t>Total (Don't Touch)</t>
  </si>
  <si>
    <t>Filament Cost per reel</t>
  </si>
  <si>
    <t>Filament weight (g)</t>
  </si>
  <si>
    <t>Filament Used (g)</t>
  </si>
  <si>
    <t xml:space="preserve">Material Profit Margin </t>
  </si>
  <si>
    <t>Labour Time (HH:MM:SS)</t>
  </si>
  <si>
    <t xml:space="preserve">Print Time (HH:MM:SS) </t>
  </si>
  <si>
    <t>Price per hour</t>
  </si>
  <si>
    <t xml:space="preserve">Printer Wattage </t>
  </si>
  <si>
    <t xml:space="preserve">Price/kWh </t>
  </si>
  <si>
    <t xml:space="preserve">Electricity Profit Margin </t>
  </si>
  <si>
    <t>Labour price per hour</t>
  </si>
  <si>
    <t>Printer upgrades price</t>
  </si>
  <si>
    <t>% Charged</t>
  </si>
  <si>
    <t>Printer lifespan (years)</t>
  </si>
  <si>
    <t>Annual repair costs</t>
  </si>
  <si>
    <t>Post-Processing (painting, smoothing, etc.)</t>
  </si>
  <si>
    <t>Total material used per print (g)</t>
  </si>
  <si>
    <t>Overhead Costs (rent, insurance,etc.)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</si>
</sst>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400]h:mm:ss\ AM/PM"/>
    <numFmt numFmtId="165" formatCode="0.00000"/>
    <numFmt numFmtId="166" formatCode="0.000000"/>
    <numFmt numFmtId="167" formatCode="&quot;R&quot;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24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4"/>
      <color rgb="FF9C5700"/>
      <name val="Aptos Narrow"/>
      <family val="2"/>
      <scheme val="minor"/>
    </font>
    <font>
      <b/>
      <sz val="14"/>
      <color rgb="FF9C000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65" fontId="0" fillId="0" borderId="0" xfId="0" applyNumberFormat="1"/>
    <xf numFmtId="0" fontId="6" fillId="0" borderId="0" xfId="0" applyFont="1"/>
    <xf numFmtId="166" fontId="0" fillId="0" borderId="0" xfId="0" applyNumberFormat="1"/>
    <xf numFmtId="0" fontId="4" fillId="4" borderId="0" xfId="5"/>
    <xf numFmtId="0" fontId="3" fillId="3" borderId="0" xfId="4"/>
    <xf numFmtId="164" fontId="3" fillId="3" borderId="0" xfId="4" applyNumberFormat="1"/>
    <xf numFmtId="0" fontId="2" fillId="2" borderId="0" xfId="3"/>
    <xf numFmtId="0" fontId="7" fillId="2" borderId="0" xfId="3" applyFont="1"/>
    <xf numFmtId="0" fontId="3" fillId="3" borderId="0" xfId="4" applyNumberFormat="1"/>
    <xf numFmtId="167" fontId="7" fillId="2" borderId="0" xfId="3" applyNumberFormat="1" applyFont="1"/>
    <xf numFmtId="2" fontId="3" fillId="3" borderId="0" xfId="4" applyNumberFormat="1"/>
    <xf numFmtId="167" fontId="3" fillId="3" borderId="0" xfId="4" applyNumberFormat="1"/>
    <xf numFmtId="9" fontId="3" fillId="3" borderId="0" xfId="2" applyFont="1" applyFill="1"/>
    <xf numFmtId="1" fontId="3" fillId="3" borderId="0" xfId="4" applyNumberFormat="1"/>
    <xf numFmtId="167" fontId="4" fillId="4" borderId="0" xfId="5" applyNumberFormat="1"/>
    <xf numFmtId="2" fontId="4" fillId="4" borderId="0" xfId="5" applyNumberFormat="1"/>
    <xf numFmtId="9" fontId="4" fillId="4" borderId="0" xfId="2" applyFont="1" applyFill="1"/>
    <xf numFmtId="167" fontId="9" fillId="4" borderId="0" xfId="5" applyNumberFormat="1" applyFont="1"/>
    <xf numFmtId="167" fontId="9" fillId="4" borderId="0" xfId="1" applyNumberFormat="1" applyFont="1" applyFill="1"/>
    <xf numFmtId="167" fontId="10" fillId="3" borderId="0" xfId="4" applyNumberFormat="1" applyFont="1"/>
    <xf numFmtId="167" fontId="8" fillId="4" borderId="0" xfId="5" applyNumberFormat="1" applyFont="1"/>
  </cellXfs>
  <cellStyles count="6">
    <cellStyle name="Bad" xfId="4" builtinId="27"/>
    <cellStyle name="Comma" xfId="1" builtinId="3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329712</xdr:colOff>
      <xdr:row>6</xdr:row>
      <xdr:rowOff>73270</xdr:rowOff>
    </xdr:from>
    <xdr:to>
      <xdr:col>15</xdr:col>
      <xdr:colOff>7327</xdr:colOff>
      <xdr:row>18</xdr:row>
      <xdr:rowOff>87923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8FB96D-253C-818C-295F-14B0FF592CF2}"/>
            </a:ext>
          </a:extLst>
        </xdr:cNvPr>
        <xdr:cNvSpPr txBox="1"/>
      </xdr:nvSpPr>
      <xdr:spPr>
        <a:xfrm>
          <a:off x="8206154" y="1267558"/>
          <a:ext cx="5744308" cy="24545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2400" b="1"/>
            <a:t>Further implementation:</a:t>
          </a:r>
          <a:br>
            <a:rPr lang="en-ZA" sz="2400" b="1"/>
          </a:br>
          <a:br>
            <a:rPr lang="en-ZA" sz="2400" b="0"/>
          </a:br>
          <a:r>
            <a:rPr lang="en-ZA" sz="2400" b="0"/>
            <a:t>Shipping</a:t>
          </a:r>
          <a:r>
            <a:rPr lang="en-ZA" sz="2400" b="0" baseline="0"/>
            <a:t> price (user input)</a:t>
          </a:r>
          <a:br>
            <a:rPr lang="en-ZA" sz="2400" b="0" baseline="0"/>
          </a:br>
          <a:r>
            <a:rPr lang="en-ZA" sz="2400" b="0" baseline="0"/>
            <a:t>Specifics for overhead costs</a:t>
          </a:r>
        </a:p>
        <a:p>
          <a:r>
            <a:rPr lang="en-ZA" sz="2400" b="0" baseline="0"/>
            <a:t>Specifics for post-processing</a:t>
          </a:r>
        </a:p>
        <a:p>
          <a:r>
            <a:rPr lang="en-ZA" sz="2400" b="0" baseline="0"/>
            <a:t>Adding preparation phase (CAD, Slicing, etc.)</a:t>
          </a:r>
          <a:endParaRPr lang="en-ZA" sz="2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47624</xdr:rowOff>
    </xdr:from>
    <xdr:to>
      <xdr:col>30</xdr:col>
      <xdr:colOff>28574</xdr:colOff>
      <xdr:row>44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66B8AE0-2AFB-2471-A081-2A4E00CF361D}"/>
                </a:ext>
              </a:extLst>
            </xdr:cNvPr>
            <xdr:cNvSpPr txBox="1"/>
          </xdr:nvSpPr>
          <xdr:spPr>
            <a:xfrm>
              <a:off x="57149" y="47624"/>
              <a:ext cx="18259425" cy="8448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ZA" sz="4000" b="1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  <a:latin typeface="+mj-lt"/>
                  <a:ea typeface="+mn-ea"/>
                  <a:cs typeface="+mn-cs"/>
                </a:rPr>
                <a:t>3d Printing Calculation Formulae:</a:t>
              </a:r>
            </a:p>
            <a:p>
              <a:pPr/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Material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𝑈𝑠𝑒𝑑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𝑔𝑟𝑎𝑚𝑠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𝑔𝑟𝑎𝑚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𝑚𝑎𝑡𝑒𝑟𝑖𝑎𝑙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Print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𝑇𝑖𝑚𝑒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h𝑜𝑢𝑟𝑠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𝑝𝑟𝑖𝑐𝑒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𝑝𝑒𝑟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h𝑜𝑢𝑟</m:t>
                        </m:r>
                      </m:e>
                    </m:d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Electricity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𝑃𝑜𝑤𝑒𝑟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𝐶𝑜𝑛𝑠𝑢𝑚𝑝𝑡𝑖𝑜𝑛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𝑃𝑟𝑖𝑛𝑡𝑒𝑟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𝑘𝑊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𝑇𝑖𝑚𝑒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h𝑜𝑢𝑟𝑠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𝑘𝑊h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4. Labour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𝐿𝑎𝑏𝑜𝑢𝑟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h𝑜𝑢𝑟𝑠</m:t>
                        </m:r>
                      </m:e>
                    </m:d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𝐿𝑎𝑏𝑜𝑢𝑟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𝑅𝑎𝑡𝑒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h𝑜𝑢𝑟𝑠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5. Equipment Costs (Maintenance, Repair and Depreciation):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𝑃𝑟𝑖𝑛𝑡𝑒𝑟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𝑝𝑢𝑟𝑐h𝑎𝑠𝑒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𝑝𝑟𝑖𝑐𝑒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+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𝑃𝑟𝑖𝑛𝑡𝑒𝑟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𝑢𝑝𝑔𝑟𝑎𝑑𝑒𝑠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𝑝𝑟𝑖𝑐𝑒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𝐴𝑛𝑛𝑢𝑎𝑙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𝑟𝑒𝑝𝑎𝑖𝑟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𝑐𝑜𝑠𝑡𝑠</m:t>
                            </m:r>
                          </m:e>
                        </m:d>
                      </m:num>
                      <m:den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𝑃𝑟𝑖𝑛𝑡𝑒𝑟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𝑙𝑖𝑓𝑒𝑠𝑝𝑎𝑛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𝑦𝑒𝑎𝑟𝑠</m:t>
                            </m:r>
                          </m:e>
                        </m:d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×24×365)</m:t>
                        </m:r>
                      </m:den>
                    </m:f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6. Post Processing Costs (Painting, Smoothing, etc.):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7. Overhead Costs (Rent, Insurance, etc.): 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 Waste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f>
                      <m:fPr>
                        <m:ctrlP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𝑀𝑎𝑡𝑒𝑟𝑖𝑎𝑙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𝑐𝑜𝑠𝑡</m:t>
                        </m:r>
                      </m:num>
                      <m:den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𝑚𝑎𝑡𝑒𝑟𝑖𝑎𝑙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𝑢𝑠𝑒𝑑</m:t>
                        </m:r>
                        <m:r>
                          <a:rPr lang="en-ZA" sz="16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ZA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</m:d>
                      </m:den>
                    </m:f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)×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𝑊𝑒𝑖𝑔h𝑡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𝑤𝑎𝑠𝑡𝑒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9. Failed Print Cost: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𝐸𝑙𝑒𝑐𝑡𝑟𝑖𝑐𝑖𝑡𝑦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× (100%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𝑃𝑒𝑟𝑐𝑒𝑛𝑡𝑎𝑔𝑒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10. TAX/VAT/GST: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𝐸𝑙𝑒𝑐𝑡𝑟𝑖𝑐𝑖𝑡𝑦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× (100%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𝑃𝑒𝑟𝑐𝑒𝑛𝑡𝑎𝑔𝑒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11. Total:</a:t>
              </a:r>
              <a:endParaRPr lang="en-Z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𝑀𝑎𝑡𝑒𝑟𝑖𝑎𝑙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𝐸𝑙𝑒𝑐𝑡𝑟𝑖𝑐𝑖𝑡𝑦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𝐿𝑎𝑏𝑜𝑢𝑟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𝐸𝑞𝑢𝑖𝑝𝑚𝑒𝑛𝑡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𝑂𝑣𝑒𝑟h𝑒𝑎𝑑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𝑝𝑟𝑜𝑐𝑒𝑠𝑠𝑖𝑛𝑔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𝑊𝑎𝑠𝑡𝑒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𝐹𝑎𝑖𝑙𝑒𝑑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𝑃𝑟𝑖𝑛𝑡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× (100% +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𝑇𝐴𝑋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𝑂𝑅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𝑉𝐴𝑇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𝑂𝑅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𝐺𝑆𝑇</m:t>
                    </m:r>
                    <m:r>
                      <a:rPr lang="en-ZA" sz="16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Z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endParaRPr lang="en-ZA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66B8AE0-2AFB-2471-A081-2A4E00CF361D}"/>
                </a:ext>
              </a:extLst>
            </xdr:cNvPr>
            <xdr:cNvSpPr txBox="1"/>
          </xdr:nvSpPr>
          <xdr:spPr>
            <a:xfrm>
              <a:off x="57149" y="47624"/>
              <a:ext cx="18259425" cy="8448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ZA" sz="4000" b="1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  <a:latin typeface="+mj-lt"/>
                  <a:ea typeface="+mn-ea"/>
                  <a:cs typeface="+mn-cs"/>
                </a:rPr>
                <a:t>3d Printing Calculation Formulae:</a:t>
              </a:r>
            </a:p>
            <a:p>
              <a:pPr/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Material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𝑀𝑎𝑡𝑒𝑟𝑖𝑎𝑙 𝑈𝑠𝑒𝑑 (𝑖𝑛 𝑔𝑟𝑎𝑚𝑠)× 𝐶𝑜𝑠𝑡 𝑝𝑒𝑟 𝑔𝑟𝑎𝑚 𝑜𝑓 𝑚𝑎𝑡𝑒𝑟𝑖𝑎𝑙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Print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𝑃𝑟𝑖𝑛𝑡 𝑇𝑖𝑚𝑒 (𝑖𝑛 ℎ𝑜𝑢𝑟𝑠)×𝑃𝑟𝑖𝑛𝑡 𝑝𝑟𝑖𝑐𝑒 (𝑝𝑒𝑟 ℎ𝑜𝑢𝑟)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Electricity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𝑃𝑜𝑤𝑒𝑟 𝐶𝑜𝑛𝑠𝑢𝑚𝑝𝑡𝑖𝑜𝑛 𝑜𝑓 𝑃𝑟𝑖𝑛𝑡𝑒𝑟 (𝑘𝑊)× 𝑃𝑟𝑖𝑛𝑡 𝑇𝑖𝑚𝑒 (ℎ𝑜𝑢𝑟𝑠)× 𝐶𝑜𝑠𝑡 𝑝𝑒𝑟 𝑘𝑊ℎ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4. Labour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𝐿𝑎𝑏𝑜𝑢𝑟 (ℎ𝑜𝑢𝑟𝑠)× 𝐿𝑎𝑏𝑜𝑢𝑟 𝑅𝑎𝑡𝑒 (ℎ𝑜𝑢𝑟𝑠)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5. Equipment Costs (Maintenance, Repair and Depreciation):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((𝑃𝑟𝑖𝑛𝑡𝑒𝑟 𝑝𝑢𝑟𝑐ℎ𝑎𝑠𝑒 𝑝𝑟𝑖𝑐𝑒 + 𝑃𝑟𝑖𝑛𝑡𝑒𝑟 𝑢𝑝𝑔𝑟𝑎𝑑𝑒𝑠 𝑝𝑟𝑖𝑐𝑒+ 𝐴𝑛𝑛𝑢𝑎𝑙 𝑟𝑒𝑝𝑎𝑖𝑟 𝑐𝑜𝑠𝑡𝑠))/((𝑃𝑟𝑖𝑛𝑡𝑒𝑟 𝑙𝑖𝑓𝑒𝑠𝑝𝑎𝑛 (𝑦𝑒𝑎𝑟𝑠)×24×365))  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6. Post Processing Costs (Painting, Smoothing, etc.):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7. Overhead Costs (Rent, Insurance, etc.): 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 Waste Costs: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((𝑀𝑎𝑡𝑒𝑟𝑖𝑎𝑙 𝑐𝑜𝑠𝑡)/(𝑇𝑜𝑡𝑎𝑙 𝑚𝑎𝑡𝑒𝑟𝑖𝑎𝑙 𝑢𝑠𝑒𝑑 (𝑔) ))× 𝑊𝑒𝑖𝑔ℎ𝑡 𝑜𝑓 𝑤𝑎𝑠𝑡𝑒 𝑚𝑎𝑡𝑒𝑟𝑖𝑎𝑙 (𝑔)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9. Failed Print Cost: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(𝑀𝑎𝑡𝑒𝑟𝑖𝑎𝑙 𝑐𝑜𝑠𝑡 + 𝑃𝑟𝑖𝑛𝑡 𝑐𝑜𝑠𝑡 + 𝐸𝑙𝑒𝑐𝑡𝑟𝑖𝑐𝑖𝑡𝑦 𝑐𝑜𝑠𝑡) × (100% + 𝑃𝑟𝑖𝑛𝑡 𝑃𝑒𝑟𝑐𝑒𝑛𝑡𝑎𝑔𝑒)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10. TAX/VAT/GST:</a:t>
              </a:r>
              <a:b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(𝑀𝑎𝑡𝑒𝑟𝑖𝑎𝑙 𝑐𝑜𝑠𝑡 + 𝑃𝑟𝑖𝑛𝑡 𝑐𝑜𝑠𝑡 + 𝐸𝑙𝑒𝑐𝑡𝑟𝑖𝑐𝑖𝑡𝑦 𝑐𝑜𝑠𝑡) × (100% + 𝑃𝑟𝑖𝑛𝑡 𝑃𝑒𝑟𝑐𝑒𝑛𝑡𝑎𝑔𝑒)</a:t>
              </a:r>
              <a:b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ZA" sz="16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11. Total:</a:t>
              </a:r>
              <a:endParaRPr lang="en-Z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ZA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(𝑀𝑎𝑡𝑒𝑟𝑖𝑎𝑙 𝑐𝑜𝑠𝑡 + 𝑃𝑟𝑖𝑛𝑡 𝑐𝑜𝑠𝑡 + 𝐸𝑙𝑒𝑐𝑡𝑟𝑖𝑐𝑖𝑡𝑦 𝑐𝑜𝑠𝑡 + 𝐿𝑎𝑏𝑜𝑢𝑟 𝑐𝑜𝑠𝑡 +  𝐸𝑞𝑢𝑖𝑝𝑚𝑒𝑛𝑡 𝑐𝑜𝑠𝑡  + 𝑂𝑣𝑒𝑟ℎ𝑒𝑎𝑑 𝑐𝑜𝑠𝑡 +  𝑃𝑜𝑠𝑡−𝑝𝑟𝑜𝑐𝑒𝑠𝑠𝑖𝑛𝑔 𝑐𝑜𝑠𝑡 +  𝑊𝑎𝑠𝑡𝑒 𝐶𝑜𝑠𝑡 +  𝐹𝑎𝑖𝑙𝑒𝑑 𝑃𝑟𝑖𝑛𝑡 𝐶𝑜𝑠𝑡) × (100% +𝑇𝐴𝑋 𝑂𝑅 𝑉𝐴𝑇 𝑂𝑅 𝐺𝑆𝑇)</a:t>
              </a:r>
              <a:endParaRPr lang="en-ZA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ZA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endParaRPr lang="en-ZA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ABB3-A0B4-41DF-838A-5B5C52774329}">
  <dimension ref="A1:G50"/>
  <sheetViews>
    <sheetView zoomScale="130" zoomScaleNormal="130" workbookViewId="0">
      <selection activeCell="C35" sqref="C35"/>
    </sheetView>
  </sheetViews>
  <sheetFormatPr defaultRowHeight="15" x14ac:dyDescent="0.25"/>
  <cols>
    <col min="1" max="1" width="54.85546875" bestFit="1" customWidth="1"/>
    <col min="2" max="2" width="19.28515625" bestFit="1" customWidth="1"/>
    <col min="3" max="3" width="24.42578125" bestFit="1" customWidth="1"/>
    <col min="4" max="4" width="7.140625" bestFit="1" customWidth="1"/>
    <col min="5" max="5" width="7" bestFit="1" customWidth="1"/>
    <col min="6" max="6" width="6.140625" bestFit="1" customWidth="1"/>
    <col min="7" max="7" width="18" bestFit="1" customWidth="1"/>
    <col min="19" max="19" width="12.140625" bestFit="1" customWidth="1"/>
    <col min="21" max="21" width="9.28515625" bestFit="1" customWidth="1"/>
  </cols>
  <sheetData>
    <row r="1" spans="1:7" ht="18.75" x14ac:dyDescent="0.3">
      <c r="A1" s="4" t="s">
        <v>0</v>
      </c>
      <c r="B1" s="20">
        <f>D5+(D5*B5)</f>
        <v>1.5191999999999997</v>
      </c>
      <c r="G1" s="6" t="s">
        <v>19</v>
      </c>
    </row>
    <row r="2" spans="1:7" x14ac:dyDescent="0.25">
      <c r="A2" t="s">
        <v>21</v>
      </c>
      <c r="B2" s="14">
        <v>300</v>
      </c>
      <c r="G2" s="7" t="s">
        <v>18</v>
      </c>
    </row>
    <row r="3" spans="1:7" x14ac:dyDescent="0.25">
      <c r="A3" t="s">
        <v>22</v>
      </c>
      <c r="B3" s="13">
        <v>1000</v>
      </c>
      <c r="G3" s="9" t="s">
        <v>20</v>
      </c>
    </row>
    <row r="4" spans="1:7" x14ac:dyDescent="0.25">
      <c r="A4" t="s">
        <v>23</v>
      </c>
      <c r="B4" s="13">
        <v>4.22</v>
      </c>
    </row>
    <row r="5" spans="1:7" x14ac:dyDescent="0.25">
      <c r="A5" t="s">
        <v>24</v>
      </c>
      <c r="B5" s="15">
        <v>0.2</v>
      </c>
      <c r="C5" t="s">
        <v>12</v>
      </c>
      <c r="D5" s="17">
        <f>B4*(B2/B3)</f>
        <v>1.2659999999999998</v>
      </c>
    </row>
    <row r="7" spans="1:7" ht="18.75" x14ac:dyDescent="0.3">
      <c r="A7" s="4" t="s">
        <v>1</v>
      </c>
      <c r="B7" s="21">
        <f>D8*B9</f>
        <v>4.7638888888888884</v>
      </c>
    </row>
    <row r="8" spans="1:7" x14ac:dyDescent="0.25">
      <c r="A8" t="s">
        <v>26</v>
      </c>
      <c r="B8" s="8">
        <v>7.9398148148148145E-3</v>
      </c>
      <c r="C8" t="s">
        <v>16</v>
      </c>
      <c r="D8" s="18">
        <f>(HOUR(B8))+(MINUTE(B8)/60)+(SECOND(B8)/60/60)</f>
        <v>0.19055555555555553</v>
      </c>
      <c r="E8" s="1" t="s">
        <v>17</v>
      </c>
    </row>
    <row r="9" spans="1:7" x14ac:dyDescent="0.25">
      <c r="A9" t="s">
        <v>27</v>
      </c>
      <c r="B9" s="14">
        <v>25</v>
      </c>
    </row>
    <row r="11" spans="1:7" ht="18.75" x14ac:dyDescent="0.3">
      <c r="A11" s="4" t="s">
        <v>2</v>
      </c>
      <c r="B11" s="20">
        <f>D14+(D14*B14)</f>
        <v>7.6298444444444419E-2</v>
      </c>
    </row>
    <row r="12" spans="1:7" x14ac:dyDescent="0.25">
      <c r="A12" t="s">
        <v>28</v>
      </c>
      <c r="B12" s="16">
        <v>350</v>
      </c>
    </row>
    <row r="13" spans="1:7" x14ac:dyDescent="0.25">
      <c r="A13" t="s">
        <v>29</v>
      </c>
      <c r="B13" s="14">
        <v>0.88</v>
      </c>
    </row>
    <row r="14" spans="1:7" x14ac:dyDescent="0.25">
      <c r="A14" t="s">
        <v>30</v>
      </c>
      <c r="B14" s="15">
        <v>0.3</v>
      </c>
      <c r="C14" t="s">
        <v>12</v>
      </c>
      <c r="D14" s="17">
        <f>(B12/1000)*D8*B13</f>
        <v>5.8691111111111097E-2</v>
      </c>
    </row>
    <row r="16" spans="1:7" ht="18.75" x14ac:dyDescent="0.3">
      <c r="A16" s="4" t="s">
        <v>3</v>
      </c>
      <c r="B16" s="20">
        <f>D17*B18</f>
        <v>16</v>
      </c>
    </row>
    <row r="17" spans="1:7" x14ac:dyDescent="0.25">
      <c r="A17" t="s">
        <v>25</v>
      </c>
      <c r="B17" s="8">
        <v>1.3888888888888889E-3</v>
      </c>
      <c r="C17" t="s">
        <v>16</v>
      </c>
      <c r="D17" s="18">
        <f>(HOUR(B17))+(MINUTE(B17)/60)+(SECOND(B17)/60/60)</f>
        <v>3.3333333333333333E-2</v>
      </c>
      <c r="E17" s="1" t="s">
        <v>17</v>
      </c>
      <c r="G17" s="5"/>
    </row>
    <row r="18" spans="1:7" x14ac:dyDescent="0.25">
      <c r="A18" t="s">
        <v>31</v>
      </c>
      <c r="B18" s="14">
        <v>480</v>
      </c>
    </row>
    <row r="20" spans="1:7" ht="18.75" x14ac:dyDescent="0.3">
      <c r="A20" s="4" t="s">
        <v>9</v>
      </c>
      <c r="B20" s="20">
        <f>((B21+B22+B24)/(B23*24*365))</f>
        <v>0.50228310502283102</v>
      </c>
    </row>
    <row r="21" spans="1:7" x14ac:dyDescent="0.25">
      <c r="A21" t="s">
        <v>6</v>
      </c>
      <c r="B21" s="14">
        <v>12000</v>
      </c>
    </row>
    <row r="22" spans="1:7" x14ac:dyDescent="0.25">
      <c r="A22" t="s">
        <v>32</v>
      </c>
      <c r="B22" s="14">
        <v>5000</v>
      </c>
    </row>
    <row r="23" spans="1:7" x14ac:dyDescent="0.25">
      <c r="A23" t="s">
        <v>34</v>
      </c>
      <c r="B23" s="11">
        <v>5</v>
      </c>
      <c r="E23" s="1"/>
    </row>
    <row r="24" spans="1:7" x14ac:dyDescent="0.25">
      <c r="A24" t="s">
        <v>35</v>
      </c>
      <c r="B24" s="14">
        <v>5000</v>
      </c>
    </row>
    <row r="26" spans="1:7" ht="18.75" x14ac:dyDescent="0.3">
      <c r="A26" s="4" t="s">
        <v>38</v>
      </c>
      <c r="B26" s="22">
        <v>0</v>
      </c>
    </row>
    <row r="28" spans="1:7" ht="18.75" x14ac:dyDescent="0.3">
      <c r="A28" s="4" t="s">
        <v>36</v>
      </c>
      <c r="B28" s="22">
        <v>0</v>
      </c>
    </row>
    <row r="30" spans="1:7" ht="18.75" x14ac:dyDescent="0.3">
      <c r="A30" s="4" t="s">
        <v>4</v>
      </c>
      <c r="B30" s="20">
        <f>(D5/B31)*B32</f>
        <v>0.3</v>
      </c>
    </row>
    <row r="31" spans="1:7" x14ac:dyDescent="0.25">
      <c r="A31" t="s">
        <v>37</v>
      </c>
      <c r="B31" s="18">
        <f>B4</f>
        <v>4.22</v>
      </c>
    </row>
    <row r="32" spans="1:7" x14ac:dyDescent="0.25">
      <c r="A32" t="s">
        <v>10</v>
      </c>
      <c r="B32" s="13">
        <v>1</v>
      </c>
    </row>
    <row r="34" spans="1:6" ht="18.75" x14ac:dyDescent="0.3">
      <c r="A34" s="4" t="s">
        <v>11</v>
      </c>
      <c r="B34" t="s">
        <v>15</v>
      </c>
      <c r="C34" s="7" t="s">
        <v>14</v>
      </c>
    </row>
    <row r="35" spans="1:6" x14ac:dyDescent="0.25">
      <c r="A35" t="s">
        <v>33</v>
      </c>
      <c r="B35" s="19">
        <f>IF(C34="Y", 20/100, IF(C34="N", 0, "N/A"))</f>
        <v>0.2</v>
      </c>
      <c r="C35" t="s">
        <v>12</v>
      </c>
      <c r="D35" s="17">
        <f>(B1+B7+B11)</f>
        <v>6.3593873333333324</v>
      </c>
      <c r="E35" t="s">
        <v>13</v>
      </c>
      <c r="F35" s="23">
        <f>(B1+B7+B11)+((B1+B7+B11)*B35)</f>
        <v>7.6312647999999985</v>
      </c>
    </row>
    <row r="37" spans="1:6" ht="18.75" x14ac:dyDescent="0.3">
      <c r="A37" s="4" t="s">
        <v>8</v>
      </c>
      <c r="B37" t="s">
        <v>15</v>
      </c>
      <c r="C37" s="7" t="s">
        <v>14</v>
      </c>
    </row>
    <row r="38" spans="1:6" x14ac:dyDescent="0.25">
      <c r="A38" t="s">
        <v>7</v>
      </c>
      <c r="B38" s="19">
        <f>IF(C37="Y", 15/100, IF(C37="N", 0, "N/A"))</f>
        <v>0.15</v>
      </c>
      <c r="C38" t="s">
        <v>12</v>
      </c>
      <c r="D38" s="17">
        <f>($B$1+$B$7+$B$11+$B$16+$B$20+$B$26+$B$28+$B$30+$F$35)</f>
        <v>30.792935238356158</v>
      </c>
    </row>
    <row r="41" spans="1:6" ht="31.5" x14ac:dyDescent="0.5">
      <c r="A41" s="10" t="s">
        <v>5</v>
      </c>
      <c r="B41" s="12">
        <f>D38+(D38*B38%)</f>
        <v>30.839124641213694</v>
      </c>
    </row>
    <row r="50" spans="5:7" x14ac:dyDescent="0.25">
      <c r="E50" s="2"/>
      <c r="F50" s="3"/>
      <c r="G5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16DE-AD89-4BB9-8981-DFC1866B5D6E}">
  <dimension ref="A1"/>
  <sheetViews>
    <sheetView tabSelected="1" workbookViewId="0">
      <selection activeCell="AI9" sqref="AI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</vt:lpstr>
      <vt:lpstr>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Reece Joubert</dc:creator>
  <cp:lastModifiedBy>Jonathan Joubert</cp:lastModifiedBy>
  <dcterms:created xsi:type="dcterms:W3CDTF">2024-04-22T13:10:02Z</dcterms:created>
  <dcterms:modified xsi:type="dcterms:W3CDTF">2024-04-23T11:59:47Z</dcterms:modified>
</cp:coreProperties>
</file>