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B.intra.admin.ch\Userhome$\BAFU-01\U80850022\data\Documents\FD\Projekte\ERKAS\Data\RESULTS\"/>
    </mc:Choice>
  </mc:AlternateContent>
  <bookViews>
    <workbookView xWindow="0" yWindow="0" windowWidth="41565" windowHeight="17505"/>
  </bookViews>
  <sheets>
    <sheet name="ERKAS 202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E28" i="2"/>
  <c r="U39" i="2" l="1"/>
  <c r="AC39" i="2"/>
  <c r="R39" i="2"/>
  <c r="Z39" i="2"/>
  <c r="M39" i="2"/>
  <c r="F39" i="2"/>
  <c r="N39" i="2"/>
  <c r="V39" i="2"/>
  <c r="AD39" i="2"/>
  <c r="H39" i="2"/>
  <c r="E39" i="2"/>
  <c r="J39" i="2"/>
  <c r="P39" i="2"/>
  <c r="X39" i="2"/>
  <c r="I39" i="2"/>
  <c r="Q39" i="2"/>
  <c r="Y39" i="2"/>
  <c r="K39" i="2"/>
  <c r="AA39" i="2"/>
  <c r="L39" i="2"/>
  <c r="T39" i="2"/>
  <c r="AB39" i="2"/>
  <c r="S39" i="2"/>
  <c r="G39" i="2"/>
  <c r="O39" i="2"/>
  <c r="W39" i="2"/>
</calcChain>
</file>

<file path=xl/sharedStrings.xml><?xml version="1.0" encoding="utf-8"?>
<sst xmlns="http://schemas.openxmlformats.org/spreadsheetml/2006/main" count="136" uniqueCount="71">
  <si>
    <t>Kanton</t>
  </si>
  <si>
    <t>Format</t>
  </si>
  <si>
    <t>Berechnungsintervall [m]</t>
  </si>
  <si>
    <t>Durchgangsstrasse [km]</t>
  </si>
  <si>
    <t>KB-befreit [km]</t>
  </si>
  <si>
    <t>Zu beurteilen AmpelcodePers [km]</t>
  </si>
  <si>
    <t>Beurteilt AmpelcodePers [km]</t>
  </si>
  <si>
    <t>AmpelcodePers0</t>
  </si>
  <si>
    <t>AmpelcodePers1</t>
  </si>
  <si>
    <t>AmpelcodePers2</t>
  </si>
  <si>
    <t>AmpelcodePers3</t>
  </si>
  <si>
    <t>AmpelcodePers4</t>
  </si>
  <si>
    <t>AmpelcodePers5</t>
  </si>
  <si>
    <t>Zu beurteilen AmpelcodeOFG [km]</t>
  </si>
  <si>
    <t>Beurteilt AmpelcodeOFG [km]</t>
  </si>
  <si>
    <t>AmpelcodeOFG0</t>
  </si>
  <si>
    <t>AmpelcodeOFG1</t>
  </si>
  <si>
    <t>AmpelcodeOFG2</t>
  </si>
  <si>
    <t>AmpelcodeOFG3</t>
  </si>
  <si>
    <t>AmpelcodeOFG4</t>
  </si>
  <si>
    <t>AmpelcodeOFG5</t>
  </si>
  <si>
    <t>Zu beurteilen AmpelcodeGW [km]</t>
  </si>
  <si>
    <t>Beurteilt AmpelcodeGW [km]</t>
  </si>
  <si>
    <t>AmpelcodeGW0</t>
  </si>
  <si>
    <t>AmpelcodeGW1</t>
  </si>
  <si>
    <t>AmpelcodeGW2</t>
  </si>
  <si>
    <t>AmpelcodeGW3</t>
  </si>
  <si>
    <t>AmpelcodeGW4</t>
  </si>
  <si>
    <t>AmpelcodeGW5</t>
  </si>
  <si>
    <t>AG</t>
  </si>
  <si>
    <t>ILI_XTF</t>
  </si>
  <si>
    <t>BE</t>
  </si>
  <si>
    <t>BL</t>
  </si>
  <si>
    <t>variabel</t>
  </si>
  <si>
    <t>LU</t>
  </si>
  <si>
    <t>SO</t>
  </si>
  <si>
    <t>TG</t>
  </si>
  <si>
    <t>TI</t>
  </si>
  <si>
    <t>FR</t>
  </si>
  <si>
    <t>XLSX</t>
  </si>
  <si>
    <t>GE</t>
  </si>
  <si>
    <t>JU</t>
  </si>
  <si>
    <t>NE</t>
  </si>
  <si>
    <t>VD</t>
  </si>
  <si>
    <t>VS</t>
  </si>
  <si>
    <t>BS</t>
  </si>
  <si>
    <t>NW</t>
  </si>
  <si>
    <t>OW</t>
  </si>
  <si>
    <t>SH</t>
  </si>
  <si>
    <t>SZ</t>
  </si>
  <si>
    <t>UR</t>
  </si>
  <si>
    <t>ZG</t>
  </si>
  <si>
    <t>ZH</t>
  </si>
  <si>
    <t>Auswertung ERKAS Strassen 2021</t>
  </si>
  <si>
    <t>SUMME</t>
  </si>
  <si>
    <t>AI</t>
  </si>
  <si>
    <t>Kontakt: florian.denzinger@bafu.admin.ch</t>
  </si>
  <si>
    <t>SG</t>
  </si>
  <si>
    <t>GR</t>
  </si>
  <si>
    <t>AR</t>
  </si>
  <si>
    <t>GL</t>
  </si>
  <si>
    <t>Manuell analysiert</t>
  </si>
  <si>
    <t>Kommentar</t>
  </si>
  <si>
    <t>nochmals anschauen für ERKAS Bericht</t>
  </si>
  <si>
    <t>Überprüfen (Code 5)</t>
  </si>
  <si>
    <t>Mit Pythonskript ERKAS-processing.py (https://github.com/bafu-DF/ERKAS-processing) analysiert</t>
  </si>
  <si>
    <t>Jahr Inputfile</t>
  </si>
  <si>
    <t>?</t>
  </si>
  <si>
    <t>SUMME FÜR UMWELTBERICHT 2022</t>
  </si>
  <si>
    <t>Zahlen von Isabelle</t>
  </si>
  <si>
    <t>Zhalen von Isabelle aus ERKAS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</si>
</sst>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Tw Cen MT"/>
      <family val="2"/>
      <scheme val="major"/>
    </font>
    <font>
      <sz val="9"/>
      <color theme="1"/>
      <name val="Tw Cen MT"/>
      <family val="2"/>
      <scheme val="major"/>
    </font>
    <font>
      <sz val="9"/>
      <color theme="1"/>
      <name val="Tw Cen MT"/>
      <scheme val="major"/>
    </font>
    <font>
      <b/>
      <sz val="9"/>
      <name val="Tw Cen MT"/>
      <scheme val="major"/>
    </font>
    <font>
      <b/>
      <sz val="9"/>
      <color theme="1"/>
      <name val="Tw Cen MT"/>
      <scheme val="maj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theme="1"/>
      </top>
      <bottom style="medium">
        <color theme="1"/>
      </bottom>
      <diagonal/>
    </border>
    <border>
      <left/>
      <right/>
      <top style="double">
        <color theme="1"/>
      </top>
      <bottom style="medium">
        <color theme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" fontId="4" fillId="0" borderId="2" xfId="0" applyNumberFormat="1" applyFont="1" applyBorder="1"/>
    <xf numFmtId="1" fontId="4" fillId="0" borderId="3" xfId="0" applyNumberFormat="1" applyFont="1" applyBorder="1"/>
    <xf numFmtId="1" fontId="4" fillId="0" borderId="4" xfId="0" applyNumberFormat="1" applyFont="1" applyBorder="1"/>
    <xf numFmtId="1" fontId="4" fillId="0" borderId="5" xfId="0" applyNumberFormat="1" applyFont="1" applyBorder="1"/>
    <xf numFmtId="1" fontId="4" fillId="0" borderId="0" xfId="0" applyNumberFormat="1" applyFont="1" applyBorder="1"/>
    <xf numFmtId="1" fontId="4" fillId="0" borderId="6" xfId="0" applyNumberFormat="1" applyFont="1" applyBorder="1"/>
    <xf numFmtId="1" fontId="3" fillId="0" borderId="5" xfId="0" applyNumberFormat="1" applyFont="1" applyBorder="1"/>
    <xf numFmtId="1" fontId="3" fillId="0" borderId="0" xfId="0" applyNumberFormat="1" applyFont="1" applyBorder="1"/>
    <xf numFmtId="1" fontId="3" fillId="0" borderId="6" xfId="0" applyNumberFormat="1" applyFont="1" applyBorder="1"/>
    <xf numFmtId="1" fontId="3" fillId="0" borderId="0" xfId="0" applyNumberFormat="1" applyFont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wrapText="1"/>
    </xf>
    <xf numFmtId="1" fontId="3" fillId="0" borderId="9" xfId="0" applyNumberFormat="1" applyFont="1" applyBorder="1" applyAlignment="1">
      <alignment wrapText="1"/>
    </xf>
    <xf numFmtId="1" fontId="3" fillId="0" borderId="9" xfId="0" applyNumberFormat="1" applyFont="1" applyBorder="1" applyAlignment="1">
      <alignment horizontal="right"/>
    </xf>
    <xf numFmtId="1" fontId="3" fillId="0" borderId="9" xfId="0" applyNumberFormat="1" applyFont="1" applyBorder="1"/>
    <xf numFmtId="1" fontId="2" fillId="0" borderId="9" xfId="0" applyNumberFormat="1" applyFont="1" applyBorder="1"/>
    <xf numFmtId="1" fontId="3" fillId="0" borderId="2" xfId="0" applyNumberFormat="1" applyFont="1" applyBorder="1"/>
    <xf numFmtId="1" fontId="4" fillId="6" borderId="5" xfId="0" applyNumberFormat="1" applyFont="1" applyFill="1" applyBorder="1"/>
    <xf numFmtId="1" fontId="4" fillId="0" borderId="0" xfId="0" applyNumberFormat="1" applyFont="1" applyAlignment="1">
      <alignment wrapText="1"/>
    </xf>
    <xf numFmtId="1" fontId="6" fillId="0" borderId="0" xfId="0" applyNumberFormat="1" applyFont="1"/>
    <xf numFmtId="0" fontId="4" fillId="0" borderId="7" xfId="0" applyFont="1" applyBorder="1"/>
    <xf numFmtId="0" fontId="4" fillId="0" borderId="10" xfId="0" applyFont="1" applyBorder="1"/>
    <xf numFmtId="0" fontId="4" fillId="0" borderId="7" xfId="0" applyFont="1" applyBorder="1" applyAlignment="1">
      <alignment horizontal="right"/>
    </xf>
    <xf numFmtId="1" fontId="2" fillId="0" borderId="8" xfId="0" applyNumberFormat="1" applyFont="1" applyBorder="1"/>
    <xf numFmtId="1" fontId="2" fillId="0" borderId="5" xfId="0" applyNumberFormat="1" applyFont="1" applyBorder="1"/>
  </cellXfs>
  <cellStyles count="1">
    <cellStyle name="Normal" xfId="0" builtinId="0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/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/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w Cen MT"/>
        <scheme val="major"/>
      </font>
      <numFmt numFmtId="1" formatCode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vertAlign val="baseline"/>
        <sz val="9"/>
        <name val="Tw Cen MT"/>
        <scheme val="major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9"/>
        <name val="Tw Cen MT"/>
        <scheme val="major"/>
      </font>
    </dxf>
    <dxf>
      <font>
        <strike val="0"/>
        <outline val="0"/>
        <shadow val="0"/>
        <vertAlign val="baseline"/>
        <sz val="9"/>
        <name val="Tw Cen MT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13" displayName="Tabelle13" ref="B6:AF28" totalsRowCount="1" headerRowDxfId="127" dataDxfId="126">
  <autoFilter ref="B6:AF27"/>
  <sortState ref="B6:AD26">
    <sortCondition ref="B5:B26"/>
  </sortState>
  <tableColumns count="31">
    <tableColumn id="1" name="Kanton" totalsRowLabel="SUMME" dataDxfId="125" totalsRowDxfId="124"/>
    <tableColumn id="2" name="Format" dataDxfId="123" totalsRowDxfId="122"/>
    <tableColumn id="3" name="Berechnungsintervall [m]" dataDxfId="121" totalsRowDxfId="120"/>
    <tableColumn id="4" name="Durchgangsstrasse [km]" totalsRowFunction="custom" dataDxfId="119" totalsRowDxfId="118">
      <totalsRowFormula>SUM(Tabelle13[Durchgangsstrasse '[km']])</totalsRowFormula>
    </tableColumn>
    <tableColumn id="5" name="KB-befreit [km]" totalsRowFunction="custom" dataDxfId="117" totalsRowDxfId="116">
      <totalsRowFormula>SUM(Tabelle13[KB-befreit '[km']])</totalsRowFormula>
    </tableColumn>
    <tableColumn id="6" name="Zu beurteilen AmpelcodePers [km]" totalsRowFunction="custom" dataDxfId="115" totalsRowDxfId="114">
      <totalsRowFormula>SUM(Tabelle13[Zu beurteilen AmpelcodePers '[km']])</totalsRowFormula>
    </tableColumn>
    <tableColumn id="7" name="Beurteilt AmpelcodePers [km]" totalsRowFunction="custom" dataDxfId="113" totalsRowDxfId="112">
      <totalsRowFormula>SUM(Tabelle13[Beurteilt AmpelcodePers '[km']])</totalsRowFormula>
    </tableColumn>
    <tableColumn id="8" name="AmpelcodePers0" totalsRowFunction="custom" dataDxfId="111" totalsRowDxfId="110">
      <totalsRowFormula>SUM(Tabelle13[AmpelcodePers0])</totalsRowFormula>
    </tableColumn>
    <tableColumn id="9" name="AmpelcodePers1" totalsRowFunction="custom" dataDxfId="109" totalsRowDxfId="108">
      <totalsRowFormula>SUM(Tabelle13[AmpelcodePers1])</totalsRowFormula>
    </tableColumn>
    <tableColumn id="10" name="AmpelcodePers2" totalsRowFunction="custom" dataDxfId="107" totalsRowDxfId="106">
      <totalsRowFormula>SUM(Tabelle13[AmpelcodePers2])</totalsRowFormula>
    </tableColumn>
    <tableColumn id="11" name="AmpelcodePers3" totalsRowFunction="custom" dataDxfId="105" totalsRowDxfId="104">
      <totalsRowFormula>SUM(Tabelle13[AmpelcodePers3])</totalsRowFormula>
    </tableColumn>
    <tableColumn id="12" name="AmpelcodePers4" totalsRowFunction="custom" dataDxfId="103" totalsRowDxfId="102">
      <totalsRowFormula>SUM(Tabelle13[AmpelcodePers4])</totalsRowFormula>
    </tableColumn>
    <tableColumn id="13" name="AmpelcodePers5" totalsRowFunction="custom" dataDxfId="101" totalsRowDxfId="100">
      <totalsRowFormula>SUM(Tabelle13[AmpelcodePers5])</totalsRowFormula>
    </tableColumn>
    <tableColumn id="14" name="Zu beurteilen AmpelcodeOFG [km]" totalsRowFunction="custom" dataDxfId="99" totalsRowDxfId="98">
      <totalsRowFormula>SUM(Tabelle13[Zu beurteilen AmpelcodeOFG '[km']])</totalsRowFormula>
    </tableColumn>
    <tableColumn id="15" name="Beurteilt AmpelcodeOFG [km]" totalsRowFunction="custom" dataDxfId="97" totalsRowDxfId="96">
      <totalsRowFormula>SUM(Tabelle13[Beurteilt AmpelcodeOFG '[km']])</totalsRowFormula>
    </tableColumn>
    <tableColumn id="16" name="AmpelcodeOFG0" totalsRowFunction="custom" dataDxfId="95" totalsRowDxfId="94">
      <totalsRowFormula>SUM(Tabelle13[AmpelcodeOFG0])</totalsRowFormula>
    </tableColumn>
    <tableColumn id="17" name="AmpelcodeOFG1" totalsRowFunction="custom" dataDxfId="93" totalsRowDxfId="92">
      <totalsRowFormula>SUM(Tabelle13[AmpelcodeOFG1])</totalsRowFormula>
    </tableColumn>
    <tableColumn id="18" name="AmpelcodeOFG2" totalsRowFunction="custom" dataDxfId="91" totalsRowDxfId="90">
      <totalsRowFormula>SUM(Tabelle13[AmpelcodeOFG2])</totalsRowFormula>
    </tableColumn>
    <tableColumn id="19" name="AmpelcodeOFG3" totalsRowFunction="custom" dataDxfId="89" totalsRowDxfId="88">
      <totalsRowFormula>SUM(Tabelle13[AmpelcodeOFG3])</totalsRowFormula>
    </tableColumn>
    <tableColumn id="20" name="AmpelcodeOFG4" totalsRowFunction="custom" dataDxfId="87" totalsRowDxfId="86">
      <totalsRowFormula>SUM(Tabelle13[AmpelcodeOFG4])</totalsRowFormula>
    </tableColumn>
    <tableColumn id="21" name="AmpelcodeOFG5" totalsRowFunction="custom" dataDxfId="85" totalsRowDxfId="84">
      <totalsRowFormula>SUM(Tabelle13[AmpelcodeOFG5])</totalsRowFormula>
    </tableColumn>
    <tableColumn id="22" name="Zu beurteilen AmpelcodeGW [km]" totalsRowFunction="custom" dataDxfId="83" totalsRowDxfId="82">
      <totalsRowFormula>SUM(Tabelle13[Zu beurteilen AmpelcodeGW '[km']])</totalsRowFormula>
    </tableColumn>
    <tableColumn id="23" name="Beurteilt AmpelcodeGW [km]" totalsRowFunction="custom" dataDxfId="81" totalsRowDxfId="80">
      <totalsRowFormula>SUM(Tabelle13[Beurteilt AmpelcodeGW '[km']])</totalsRowFormula>
    </tableColumn>
    <tableColumn id="24" name="AmpelcodeGW0" totalsRowFunction="custom" dataDxfId="79" totalsRowDxfId="78">
      <totalsRowFormula>SUM(Tabelle13[AmpelcodeGW0])</totalsRowFormula>
    </tableColumn>
    <tableColumn id="25" name="AmpelcodeGW1" totalsRowFunction="custom" dataDxfId="77" totalsRowDxfId="76">
      <totalsRowFormula>SUM(Tabelle13[AmpelcodeGW1])</totalsRowFormula>
    </tableColumn>
    <tableColumn id="26" name="AmpelcodeGW2" totalsRowFunction="custom" dataDxfId="75" totalsRowDxfId="74">
      <totalsRowFormula>SUM(Tabelle13[AmpelcodeGW2])</totalsRowFormula>
    </tableColumn>
    <tableColumn id="27" name="AmpelcodeGW3" totalsRowFunction="custom" dataDxfId="73" totalsRowDxfId="72">
      <totalsRowFormula>SUM(Tabelle13[AmpelcodeGW3])</totalsRowFormula>
    </tableColumn>
    <tableColumn id="28" name="AmpelcodeGW4" totalsRowFunction="custom" dataDxfId="71" totalsRowDxfId="70">
      <totalsRowFormula>SUM(Tabelle13[AmpelcodeGW4])</totalsRowFormula>
    </tableColumn>
    <tableColumn id="29" name="AmpelcodeGW5" totalsRowFunction="custom" dataDxfId="69" totalsRowDxfId="68">
      <totalsRowFormula>SUM(Tabelle13[AmpelcodeGW5])</totalsRowFormula>
    </tableColumn>
    <tableColumn id="30" name="Kommentar" dataDxfId="67" totalsRowDxfId="66"/>
    <tableColumn id="31" name="Jahr Inputfile" dataDxfId="65" totalsRowDxfId="64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1" name="Tabelle132" displayName="Tabelle132" ref="B31:AF37" totalsRowCount="1" headerRowDxfId="63" dataDxfId="62">
  <autoFilter ref="B31:AF36"/>
  <sortState ref="B31:AD35">
    <sortCondition ref="B30:B35"/>
  </sortState>
  <tableColumns count="31">
    <tableColumn id="1" name="Kanton" totalsRowLabel="SUMME" dataDxfId="61" totalsRowDxfId="30"/>
    <tableColumn id="2" name="Format" dataDxfId="60" totalsRowDxfId="29"/>
    <tableColumn id="3" name="Berechnungsintervall [m]" dataDxfId="59" totalsRowDxfId="28"/>
    <tableColumn id="4" name="Durchgangsstrasse [km]" totalsRowFunction="custom" dataDxfId="58" totalsRowDxfId="27">
      <totalsRowFormula>SUM(Tabelle132[Durchgangsstrasse '[km']])</totalsRowFormula>
    </tableColumn>
    <tableColumn id="5" name="KB-befreit [km]" totalsRowFunction="custom" dataDxfId="57" totalsRowDxfId="26">
      <totalsRowFormula>SUM(Tabelle132[KB-befreit '[km']])</totalsRowFormula>
    </tableColumn>
    <tableColumn id="6" name="Zu beurteilen AmpelcodePers [km]" totalsRowFunction="custom" dataDxfId="56" totalsRowDxfId="25">
      <totalsRowFormula>SUM(Tabelle132[Zu beurteilen AmpelcodePers '[km']])</totalsRowFormula>
    </tableColumn>
    <tableColumn id="7" name="Beurteilt AmpelcodePers [km]" totalsRowFunction="custom" dataDxfId="55" totalsRowDxfId="24">
      <totalsRowFormula>SUM(Tabelle132[Beurteilt AmpelcodePers '[km']])</totalsRowFormula>
    </tableColumn>
    <tableColumn id="8" name="AmpelcodePers0" totalsRowFunction="custom" dataDxfId="54" totalsRowDxfId="23">
      <totalsRowFormula>SUM(Tabelle132[AmpelcodePers0])</totalsRowFormula>
    </tableColumn>
    <tableColumn id="9" name="AmpelcodePers1" totalsRowFunction="custom" dataDxfId="53" totalsRowDxfId="22">
      <totalsRowFormula>SUM(Tabelle132[AmpelcodePers1])</totalsRowFormula>
    </tableColumn>
    <tableColumn id="10" name="AmpelcodePers2" totalsRowFunction="custom" dataDxfId="52" totalsRowDxfId="21">
      <totalsRowFormula>SUM(Tabelle132[AmpelcodePers2])</totalsRowFormula>
    </tableColumn>
    <tableColumn id="11" name="AmpelcodePers3" totalsRowFunction="custom" dataDxfId="51" totalsRowDxfId="20">
      <totalsRowFormula>SUM(Tabelle132[AmpelcodePers3])</totalsRowFormula>
    </tableColumn>
    <tableColumn id="12" name="AmpelcodePers4" totalsRowFunction="custom" dataDxfId="50" totalsRowDxfId="19">
      <totalsRowFormula>SUM(Tabelle132[AmpelcodePers4])</totalsRowFormula>
    </tableColumn>
    <tableColumn id="13" name="AmpelcodePers5" totalsRowFunction="custom" dataDxfId="49" totalsRowDxfId="18">
      <totalsRowFormula>SUM(Tabelle132[AmpelcodePers5])</totalsRowFormula>
    </tableColumn>
    <tableColumn id="14" name="Zu beurteilen AmpelcodeOFG [km]" totalsRowFunction="custom" dataDxfId="48" totalsRowDxfId="17">
      <totalsRowFormula>SUM(Tabelle132[Zu beurteilen AmpelcodeOFG '[km']])</totalsRowFormula>
    </tableColumn>
    <tableColumn id="15" name="Beurteilt AmpelcodeOFG [km]" totalsRowFunction="custom" dataDxfId="47" totalsRowDxfId="16">
      <totalsRowFormula>SUM(Tabelle132[Beurteilt AmpelcodeOFG '[km']])</totalsRowFormula>
    </tableColumn>
    <tableColumn id="16" name="AmpelcodeOFG0" totalsRowFunction="custom" dataDxfId="46" totalsRowDxfId="15">
      <totalsRowFormula>SUM(Tabelle132[AmpelcodeOFG0])</totalsRowFormula>
    </tableColumn>
    <tableColumn id="17" name="AmpelcodeOFG1" totalsRowFunction="custom" dataDxfId="45" totalsRowDxfId="14">
      <totalsRowFormula>SUM(Tabelle132[AmpelcodeOFG1])</totalsRowFormula>
    </tableColumn>
    <tableColumn id="18" name="AmpelcodeOFG2" totalsRowFunction="custom" dataDxfId="44" totalsRowDxfId="13">
      <totalsRowFormula>SUM(Tabelle132[AmpelcodeOFG2])</totalsRowFormula>
    </tableColumn>
    <tableColumn id="19" name="AmpelcodeOFG3" totalsRowFunction="custom" dataDxfId="43" totalsRowDxfId="12">
      <totalsRowFormula>SUM(Tabelle132[AmpelcodeOFG3])</totalsRowFormula>
    </tableColumn>
    <tableColumn id="20" name="AmpelcodeOFG4" totalsRowFunction="custom" dataDxfId="42" totalsRowDxfId="11">
      <totalsRowFormula>SUM(Tabelle132[AmpelcodeOFG4])</totalsRowFormula>
    </tableColumn>
    <tableColumn id="21" name="AmpelcodeOFG5" totalsRowFunction="custom" dataDxfId="41" totalsRowDxfId="10">
      <totalsRowFormula>SUM(Tabelle132[AmpelcodeOFG5])</totalsRowFormula>
    </tableColumn>
    <tableColumn id="22" name="Zu beurteilen AmpelcodeGW [km]" totalsRowFunction="custom" dataDxfId="40" totalsRowDxfId="9">
      <totalsRowFormula>SUM(Tabelle132[Zu beurteilen AmpelcodeGW '[km']])</totalsRowFormula>
    </tableColumn>
    <tableColumn id="23" name="Beurteilt AmpelcodeGW [km]" totalsRowFunction="custom" dataDxfId="39" totalsRowDxfId="8">
      <totalsRowFormula>SUM(Tabelle132[Beurteilt AmpelcodeGW '[km']])</totalsRowFormula>
    </tableColumn>
    <tableColumn id="24" name="AmpelcodeGW0" totalsRowFunction="custom" dataDxfId="38" totalsRowDxfId="7">
      <totalsRowFormula>SUM(Tabelle132[AmpelcodeGW0])</totalsRowFormula>
    </tableColumn>
    <tableColumn id="25" name="AmpelcodeGW1" totalsRowFunction="custom" dataDxfId="37" totalsRowDxfId="6">
      <totalsRowFormula>SUM(Tabelle132[AmpelcodeGW1])</totalsRowFormula>
    </tableColumn>
    <tableColumn id="26" name="AmpelcodeGW2" totalsRowFunction="custom" dataDxfId="36" totalsRowDxfId="5">
      <totalsRowFormula>SUM(Tabelle132[AmpelcodeGW2])</totalsRowFormula>
    </tableColumn>
    <tableColumn id="27" name="AmpelcodeGW3" totalsRowFunction="custom" dataDxfId="35" totalsRowDxfId="4">
      <totalsRowFormula>SUM(Tabelle132[AmpelcodeGW3])</totalsRowFormula>
    </tableColumn>
    <tableColumn id="28" name="AmpelcodeGW4" totalsRowFunction="custom" dataDxfId="34" totalsRowDxfId="3">
      <totalsRowFormula>SUM(Tabelle132[AmpelcodeGW4])</totalsRowFormula>
    </tableColumn>
    <tableColumn id="29" name="AmpelcodeGW5" totalsRowFunction="custom" dataDxfId="33" totalsRowDxfId="2">
      <totalsRowFormula>SUM(Tabelle132[AmpelcodeGW5])</totalsRowFormula>
    </tableColumn>
    <tableColumn id="30" name="Kommentar" dataDxfId="32" totalsRowDxfId="1"/>
    <tableColumn id="31" name="Jahr Inputfile" dataDxfId="31" totalsRowDxfId="0"/>
  </tableColumns>
  <tableStyleInfo name="TableStyleMedium2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showGridLines="0" tabSelected="1" zoomScale="125" zoomScaleNormal="125" workbookViewId="0">
      <selection activeCell="C2" sqref="C2"/>
    </sheetView>
  </sheetViews>
  <sheetFormatPr defaultRowHeight="12" x14ac:dyDescent="0.2"/>
  <cols>
    <col min="1" max="1" width="1.42578125" style="1" customWidth="1"/>
    <col min="2" max="2" width="8.7109375" style="1" customWidth="1"/>
    <col min="3" max="3" width="9.85546875" style="4" bestFit="1" customWidth="1"/>
    <col min="4" max="4" width="10.42578125" style="1" customWidth="1"/>
    <col min="5" max="5" width="9.28515625" style="1" customWidth="1"/>
    <col min="6" max="6" width="11.85546875" style="1" bestFit="1" customWidth="1"/>
    <col min="7" max="30" width="9.140625" style="1"/>
    <col min="31" max="31" width="27.85546875" style="1" customWidth="1"/>
    <col min="32" max="16384" width="9.140625" style="1"/>
  </cols>
  <sheetData>
    <row r="1" spans="1:32" ht="9.75" customHeight="1" x14ac:dyDescent="0.2"/>
    <row r="2" spans="1:32" x14ac:dyDescent="0.2">
      <c r="B2" s="2" t="s">
        <v>53</v>
      </c>
      <c r="C2" s="5"/>
      <c r="D2" s="3"/>
      <c r="E2" s="3"/>
      <c r="F2" s="3"/>
    </row>
    <row r="3" spans="1:32" x14ac:dyDescent="0.2">
      <c r="A3" s="3"/>
      <c r="B3" s="3" t="s">
        <v>56</v>
      </c>
      <c r="C3" s="5"/>
      <c r="D3" s="3"/>
      <c r="E3" s="3"/>
      <c r="F3" s="3"/>
    </row>
    <row r="4" spans="1:32" x14ac:dyDescent="0.2">
      <c r="A4" s="3"/>
      <c r="B4" s="3"/>
      <c r="C4" s="5"/>
      <c r="D4" s="3"/>
      <c r="E4" s="3"/>
      <c r="F4" s="3"/>
    </row>
    <row r="5" spans="1:32" x14ac:dyDescent="0.2">
      <c r="B5" s="3" t="s">
        <v>65</v>
      </c>
      <c r="C5" s="5"/>
      <c r="D5" s="3"/>
      <c r="E5" s="3"/>
      <c r="F5" s="3"/>
    </row>
    <row r="6" spans="1:32" ht="48" x14ac:dyDescent="0.2"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8" t="s">
        <v>7</v>
      </c>
      <c r="J6" s="9" t="s">
        <v>8</v>
      </c>
      <c r="K6" s="11" t="s">
        <v>9</v>
      </c>
      <c r="L6" s="10" t="s">
        <v>10</v>
      </c>
      <c r="M6" s="12" t="s">
        <v>11</v>
      </c>
      <c r="N6" s="8" t="s">
        <v>12</v>
      </c>
      <c r="O6" s="8" t="s">
        <v>13</v>
      </c>
      <c r="P6" s="8" t="s">
        <v>14</v>
      </c>
      <c r="Q6" s="8" t="s">
        <v>15</v>
      </c>
      <c r="R6" s="9" t="s">
        <v>16</v>
      </c>
      <c r="S6" s="11" t="s">
        <v>17</v>
      </c>
      <c r="T6" s="10" t="s">
        <v>18</v>
      </c>
      <c r="U6" s="12" t="s">
        <v>19</v>
      </c>
      <c r="V6" s="8" t="s">
        <v>20</v>
      </c>
      <c r="W6" s="8" t="s">
        <v>21</v>
      </c>
      <c r="X6" s="8" t="s">
        <v>22</v>
      </c>
      <c r="Y6" s="8" t="s">
        <v>23</v>
      </c>
      <c r="Z6" s="9" t="s">
        <v>24</v>
      </c>
      <c r="AA6" s="11" t="s">
        <v>25</v>
      </c>
      <c r="AB6" s="10" t="s">
        <v>26</v>
      </c>
      <c r="AC6" s="12" t="s">
        <v>27</v>
      </c>
      <c r="AD6" s="8" t="s">
        <v>28</v>
      </c>
      <c r="AE6" s="8" t="s">
        <v>62</v>
      </c>
      <c r="AF6" s="8" t="s">
        <v>66</v>
      </c>
    </row>
    <row r="7" spans="1:32" x14ac:dyDescent="0.2">
      <c r="B7" s="13" t="s">
        <v>29</v>
      </c>
      <c r="C7" s="7" t="s">
        <v>30</v>
      </c>
      <c r="D7" s="23">
        <v>10</v>
      </c>
      <c r="E7" s="7">
        <v>614.75</v>
      </c>
      <c r="F7" s="7">
        <v>0</v>
      </c>
      <c r="G7" s="13">
        <v>9.9999999999909051E-3</v>
      </c>
      <c r="H7" s="14">
        <v>614.74</v>
      </c>
      <c r="I7" s="14"/>
      <c r="J7" s="14">
        <v>593.54999999999995</v>
      </c>
      <c r="K7" s="14">
        <v>16.239999999999998</v>
      </c>
      <c r="L7" s="14">
        <v>4.41</v>
      </c>
      <c r="M7" s="14">
        <v>0.54</v>
      </c>
      <c r="N7" s="15">
        <v>0.01</v>
      </c>
      <c r="O7" s="13">
        <v>9.9999999999909051E-3</v>
      </c>
      <c r="P7" s="14">
        <v>614.74</v>
      </c>
      <c r="Q7" s="14"/>
      <c r="R7" s="14">
        <v>511.94</v>
      </c>
      <c r="S7" s="14">
        <v>29.45</v>
      </c>
      <c r="T7" s="14">
        <v>73.319999999999993</v>
      </c>
      <c r="U7" s="14">
        <v>0.03</v>
      </c>
      <c r="V7" s="15">
        <v>0.01</v>
      </c>
      <c r="W7" s="13">
        <v>9.9999999999909051E-3</v>
      </c>
      <c r="X7" s="14">
        <v>614.74</v>
      </c>
      <c r="Y7" s="14"/>
      <c r="Z7" s="14">
        <v>476.54</v>
      </c>
      <c r="AA7" s="14"/>
      <c r="AB7" s="14">
        <v>23.58</v>
      </c>
      <c r="AC7" s="14">
        <v>114.62</v>
      </c>
      <c r="AD7" s="15">
        <v>0.01</v>
      </c>
      <c r="AE7" s="34"/>
      <c r="AF7" s="34">
        <v>2021</v>
      </c>
    </row>
    <row r="8" spans="1:32" x14ac:dyDescent="0.2">
      <c r="B8" s="16" t="s">
        <v>31</v>
      </c>
      <c r="C8" s="7" t="s">
        <v>30</v>
      </c>
      <c r="D8" s="23">
        <v>10</v>
      </c>
      <c r="E8" s="7">
        <v>1333.69</v>
      </c>
      <c r="F8" s="7">
        <v>0</v>
      </c>
      <c r="G8" s="16">
        <v>149.83000000000021</v>
      </c>
      <c r="H8" s="17">
        <v>1183.8599999999999</v>
      </c>
      <c r="I8" s="17"/>
      <c r="J8" s="17">
        <v>1174.3699999999999</v>
      </c>
      <c r="K8" s="17">
        <v>7.33</v>
      </c>
      <c r="L8" s="17">
        <v>2.0699999999999998</v>
      </c>
      <c r="M8" s="17">
        <v>0.09</v>
      </c>
      <c r="N8" s="18">
        <v>149.83000000000001</v>
      </c>
      <c r="O8" s="16">
        <v>149.83000000000021</v>
      </c>
      <c r="P8" s="17">
        <v>1183.8599999999999</v>
      </c>
      <c r="Q8" s="17"/>
      <c r="R8" s="17">
        <v>1160.05</v>
      </c>
      <c r="S8" s="17">
        <v>19.07</v>
      </c>
      <c r="T8" s="17">
        <v>4.74</v>
      </c>
      <c r="U8" s="17"/>
      <c r="V8" s="18">
        <v>149.83000000000001</v>
      </c>
      <c r="W8" s="16">
        <v>149.83000000000021</v>
      </c>
      <c r="X8" s="17">
        <v>1183.8599999999999</v>
      </c>
      <c r="Y8" s="17"/>
      <c r="Z8" s="17">
        <v>987.31</v>
      </c>
      <c r="AA8" s="17">
        <v>7.0000000000000007E-2</v>
      </c>
      <c r="AB8" s="17">
        <v>31.85</v>
      </c>
      <c r="AC8" s="17">
        <v>164.63</v>
      </c>
      <c r="AD8" s="18">
        <v>149.83000000000001</v>
      </c>
      <c r="AE8" s="35" t="s">
        <v>64</v>
      </c>
      <c r="AF8" s="35">
        <v>2021</v>
      </c>
    </row>
    <row r="9" spans="1:32" x14ac:dyDescent="0.2">
      <c r="B9" s="16" t="s">
        <v>32</v>
      </c>
      <c r="C9" s="7" t="s">
        <v>30</v>
      </c>
      <c r="D9" s="23" t="s">
        <v>33</v>
      </c>
      <c r="E9" s="7">
        <v>176.21510000000001</v>
      </c>
      <c r="F9" s="7">
        <v>0</v>
      </c>
      <c r="G9" s="16">
        <v>0</v>
      </c>
      <c r="H9" s="17">
        <v>176.21510000000001</v>
      </c>
      <c r="I9" s="17"/>
      <c r="J9" s="17">
        <v>162.78620000000001</v>
      </c>
      <c r="K9" s="17">
        <v>13.428900000000001</v>
      </c>
      <c r="L9" s="17"/>
      <c r="M9" s="17"/>
      <c r="N9" s="18"/>
      <c r="O9" s="16">
        <v>0</v>
      </c>
      <c r="P9" s="17">
        <v>176.21510000000001</v>
      </c>
      <c r="Q9" s="17"/>
      <c r="R9" s="17">
        <v>131.85650000000001</v>
      </c>
      <c r="S9" s="17">
        <v>26.067499999999999</v>
      </c>
      <c r="T9" s="17">
        <v>18.2911</v>
      </c>
      <c r="U9" s="17"/>
      <c r="V9" s="18"/>
      <c r="W9" s="16">
        <v>0</v>
      </c>
      <c r="X9" s="17">
        <v>176.21510000000001</v>
      </c>
      <c r="Y9" s="17"/>
      <c r="Z9" s="17">
        <v>169.27869999999999</v>
      </c>
      <c r="AA9" s="17"/>
      <c r="AB9" s="17">
        <v>2.9283999999999999</v>
      </c>
      <c r="AC9" s="17">
        <v>4.008</v>
      </c>
      <c r="AD9" s="18"/>
      <c r="AE9" s="35"/>
      <c r="AF9" s="35">
        <v>2021</v>
      </c>
    </row>
    <row r="10" spans="1:32" x14ac:dyDescent="0.2">
      <c r="B10" s="16" t="s">
        <v>45</v>
      </c>
      <c r="C10" s="7" t="s">
        <v>39</v>
      </c>
      <c r="D10" s="23" t="s">
        <v>33</v>
      </c>
      <c r="E10" s="7">
        <v>19.056999999999999</v>
      </c>
      <c r="F10" s="7">
        <v>0</v>
      </c>
      <c r="G10" s="16">
        <v>0</v>
      </c>
      <c r="H10" s="17">
        <v>19.056999999999999</v>
      </c>
      <c r="I10" s="17"/>
      <c r="J10" s="17">
        <v>0.73099999999999998</v>
      </c>
      <c r="K10" s="17">
        <v>8.5380000000000003</v>
      </c>
      <c r="L10" s="17">
        <v>9.7880000000000003</v>
      </c>
      <c r="M10" s="17"/>
      <c r="N10" s="18"/>
      <c r="O10" s="16">
        <v>0</v>
      </c>
      <c r="P10" s="17">
        <v>19.056999999999999</v>
      </c>
      <c r="Q10" s="17"/>
      <c r="R10" s="17">
        <v>11.491</v>
      </c>
      <c r="S10" s="17">
        <v>5.0819999999999999</v>
      </c>
      <c r="T10" s="17">
        <v>2.484</v>
      </c>
      <c r="U10" s="17"/>
      <c r="V10" s="18"/>
      <c r="W10" s="16">
        <v>0</v>
      </c>
      <c r="X10" s="17">
        <v>19.056999999999999</v>
      </c>
      <c r="Y10" s="17"/>
      <c r="Z10" s="17">
        <v>18.411000000000001</v>
      </c>
      <c r="AA10" s="17"/>
      <c r="AB10" s="17">
        <v>0.64600000000000002</v>
      </c>
      <c r="AC10" s="17"/>
      <c r="AD10" s="18"/>
      <c r="AE10" s="35"/>
      <c r="AF10" s="35">
        <v>2021</v>
      </c>
    </row>
    <row r="11" spans="1:32" x14ac:dyDescent="0.2">
      <c r="B11" s="16" t="s">
        <v>38</v>
      </c>
      <c r="C11" s="7" t="s">
        <v>39</v>
      </c>
      <c r="D11" s="23" t="s">
        <v>33</v>
      </c>
      <c r="E11" s="7">
        <v>457.40300000000002</v>
      </c>
      <c r="F11" s="7">
        <v>217.38</v>
      </c>
      <c r="G11" s="16">
        <v>2.8421709430404007E-14</v>
      </c>
      <c r="H11" s="17">
        <v>240.023</v>
      </c>
      <c r="I11" s="17"/>
      <c r="J11" s="17">
        <v>220.34</v>
      </c>
      <c r="K11" s="17">
        <v>19.683</v>
      </c>
      <c r="L11" s="17"/>
      <c r="M11" s="17"/>
      <c r="N11" s="18"/>
      <c r="O11" s="16">
        <v>2.8421709430404007E-14</v>
      </c>
      <c r="P11" s="17">
        <v>240.023</v>
      </c>
      <c r="Q11" s="17"/>
      <c r="R11" s="17">
        <v>35.250999999999998</v>
      </c>
      <c r="S11" s="17">
        <v>36.029000000000003</v>
      </c>
      <c r="T11" s="17">
        <v>168.74299999999999</v>
      </c>
      <c r="U11" s="17"/>
      <c r="V11" s="18"/>
      <c r="W11" s="16">
        <v>2.8421709430404007E-14</v>
      </c>
      <c r="X11" s="17">
        <v>240.023</v>
      </c>
      <c r="Y11" s="17"/>
      <c r="Z11" s="17">
        <v>204.12299999999999</v>
      </c>
      <c r="AA11" s="17">
        <v>10.941000000000001</v>
      </c>
      <c r="AB11" s="17">
        <v>18.39</v>
      </c>
      <c r="AC11" s="17">
        <v>6.569</v>
      </c>
      <c r="AD11" s="18"/>
      <c r="AE11" s="35"/>
      <c r="AF11" s="35">
        <v>2021</v>
      </c>
    </row>
    <row r="12" spans="1:32" x14ac:dyDescent="0.2">
      <c r="B12" s="16" t="s">
        <v>40</v>
      </c>
      <c r="C12" s="7" t="s">
        <v>39</v>
      </c>
      <c r="D12" s="23">
        <v>100</v>
      </c>
      <c r="E12" s="7">
        <v>140.19999999999999</v>
      </c>
      <c r="F12" s="7">
        <v>7.8</v>
      </c>
      <c r="G12" s="16">
        <v>79.299999999999983</v>
      </c>
      <c r="H12" s="17">
        <v>53.1</v>
      </c>
      <c r="I12" s="17">
        <v>7.8</v>
      </c>
      <c r="J12" s="17">
        <v>31.8</v>
      </c>
      <c r="K12" s="17">
        <v>19.100000000000001</v>
      </c>
      <c r="L12" s="17">
        <v>1.7</v>
      </c>
      <c r="M12" s="17">
        <v>0.5</v>
      </c>
      <c r="N12" s="18"/>
      <c r="O12" s="16">
        <v>49.799999999999983</v>
      </c>
      <c r="P12" s="17">
        <v>82.6</v>
      </c>
      <c r="Q12" s="17">
        <v>6.6</v>
      </c>
      <c r="R12" s="17">
        <v>11.3</v>
      </c>
      <c r="S12" s="17">
        <v>42.1</v>
      </c>
      <c r="T12" s="17">
        <v>27.7</v>
      </c>
      <c r="U12" s="17">
        <v>1.5</v>
      </c>
      <c r="V12" s="18"/>
      <c r="W12" s="16">
        <v>65.299999999999983</v>
      </c>
      <c r="X12" s="17">
        <v>67.099999999999994</v>
      </c>
      <c r="Y12" s="17">
        <v>6.6</v>
      </c>
      <c r="Z12" s="17">
        <v>66.599999999999994</v>
      </c>
      <c r="AA12" s="17"/>
      <c r="AB12" s="17"/>
      <c r="AC12" s="17">
        <v>0.5</v>
      </c>
      <c r="AD12" s="18"/>
      <c r="AE12" s="35"/>
      <c r="AF12" s="35">
        <v>2021</v>
      </c>
    </row>
    <row r="13" spans="1:32" x14ac:dyDescent="0.2">
      <c r="B13" s="16" t="s">
        <v>41</v>
      </c>
      <c r="C13" s="7" t="s">
        <v>39</v>
      </c>
      <c r="D13" s="23">
        <v>100</v>
      </c>
      <c r="E13" s="7">
        <v>278.3</v>
      </c>
      <c r="F13" s="7">
        <v>270.5</v>
      </c>
      <c r="G13" s="16">
        <v>7.8000000000000114</v>
      </c>
      <c r="H13" s="17">
        <v>0</v>
      </c>
      <c r="I13" s="17">
        <v>7.8</v>
      </c>
      <c r="J13" s="17"/>
      <c r="K13" s="17"/>
      <c r="L13" s="17"/>
      <c r="M13" s="17"/>
      <c r="N13" s="18"/>
      <c r="O13" s="16">
        <v>7.8000000000000114</v>
      </c>
      <c r="P13" s="17">
        <v>0</v>
      </c>
      <c r="Q13" s="17">
        <v>7.8</v>
      </c>
      <c r="R13" s="17"/>
      <c r="S13" s="17"/>
      <c r="T13" s="17"/>
      <c r="U13" s="17"/>
      <c r="V13" s="18"/>
      <c r="W13" s="16">
        <v>7.8000000000000114</v>
      </c>
      <c r="X13" s="17">
        <v>0</v>
      </c>
      <c r="Y13" s="17">
        <v>7.8</v>
      </c>
      <c r="Z13" s="17"/>
      <c r="AA13" s="17"/>
      <c r="AB13" s="17"/>
      <c r="AC13" s="17"/>
      <c r="AD13" s="18"/>
      <c r="AE13" s="35"/>
      <c r="AF13" s="35">
        <v>2021</v>
      </c>
    </row>
    <row r="14" spans="1:32" x14ac:dyDescent="0.2">
      <c r="B14" s="16" t="s">
        <v>34</v>
      </c>
      <c r="C14" s="7" t="s">
        <v>30</v>
      </c>
      <c r="D14" s="23" t="s">
        <v>33</v>
      </c>
      <c r="E14" s="7">
        <v>365.89800000000002</v>
      </c>
      <c r="F14" s="7">
        <v>0</v>
      </c>
      <c r="G14" s="16">
        <v>5.0000000000522959E-3</v>
      </c>
      <c r="H14" s="17">
        <v>365.89299999999997</v>
      </c>
      <c r="I14" s="17"/>
      <c r="J14" s="17">
        <v>346.45699999999999</v>
      </c>
      <c r="K14" s="17">
        <v>8.952</v>
      </c>
      <c r="L14" s="17">
        <v>7.5129999999999999</v>
      </c>
      <c r="M14" s="17">
        <v>2.9710000000000001</v>
      </c>
      <c r="N14" s="18">
        <v>5.0000000000000001E-3</v>
      </c>
      <c r="O14" s="16">
        <v>5.0000000000522959E-3</v>
      </c>
      <c r="P14" s="17">
        <v>365.89299999999997</v>
      </c>
      <c r="Q14" s="17"/>
      <c r="R14" s="17">
        <v>343.37</v>
      </c>
      <c r="S14" s="17">
        <v>8.1329999999999991</v>
      </c>
      <c r="T14" s="17">
        <v>14.39</v>
      </c>
      <c r="U14" s="17"/>
      <c r="V14" s="18">
        <v>5.0000000000000001E-3</v>
      </c>
      <c r="W14" s="16">
        <v>5.0000000000522959E-3</v>
      </c>
      <c r="X14" s="17">
        <v>365.89299999999997</v>
      </c>
      <c r="Y14" s="17"/>
      <c r="Z14" s="17">
        <v>344.94799999999998</v>
      </c>
      <c r="AA14" s="17"/>
      <c r="AB14" s="17">
        <v>4.6050000000000004</v>
      </c>
      <c r="AC14" s="17">
        <v>16.34</v>
      </c>
      <c r="AD14" s="18">
        <v>5.0000000000000001E-3</v>
      </c>
      <c r="AE14" s="35"/>
      <c r="AF14" s="35">
        <v>2021</v>
      </c>
    </row>
    <row r="15" spans="1:32" x14ac:dyDescent="0.2">
      <c r="B15" s="16" t="s">
        <v>42</v>
      </c>
      <c r="C15" s="7" t="s">
        <v>39</v>
      </c>
      <c r="D15" s="23" t="s">
        <v>33</v>
      </c>
      <c r="E15" s="7">
        <v>212.1</v>
      </c>
      <c r="F15" s="7">
        <v>0</v>
      </c>
      <c r="G15" s="16">
        <v>198.2</v>
      </c>
      <c r="H15" s="17">
        <v>13.9</v>
      </c>
      <c r="I15" s="17">
        <v>101</v>
      </c>
      <c r="J15" s="17">
        <v>8.9</v>
      </c>
      <c r="K15" s="17">
        <v>5</v>
      </c>
      <c r="L15" s="17"/>
      <c r="M15" s="17"/>
      <c r="N15" s="18"/>
      <c r="O15" s="16">
        <v>198.2</v>
      </c>
      <c r="P15" s="17">
        <v>13.9</v>
      </c>
      <c r="Q15" s="17">
        <v>101</v>
      </c>
      <c r="R15" s="17">
        <v>5.9</v>
      </c>
      <c r="S15" s="17"/>
      <c r="T15" s="17">
        <v>8</v>
      </c>
      <c r="U15" s="17"/>
      <c r="V15" s="18"/>
      <c r="W15" s="16">
        <v>198.2</v>
      </c>
      <c r="X15" s="17">
        <v>13.9</v>
      </c>
      <c r="Y15" s="17">
        <v>101</v>
      </c>
      <c r="Z15" s="17">
        <v>13.9</v>
      </c>
      <c r="AA15" s="17"/>
      <c r="AB15" s="17"/>
      <c r="AC15" s="17"/>
      <c r="AD15" s="18"/>
      <c r="AE15" s="35"/>
      <c r="AF15" s="35">
        <v>2021</v>
      </c>
    </row>
    <row r="16" spans="1:32" x14ac:dyDescent="0.2">
      <c r="B16" s="16" t="s">
        <v>46</v>
      </c>
      <c r="C16" s="7" t="s">
        <v>39</v>
      </c>
      <c r="D16" s="23">
        <v>500</v>
      </c>
      <c r="E16" s="7">
        <v>49.5</v>
      </c>
      <c r="F16" s="7">
        <v>27</v>
      </c>
      <c r="G16" s="16">
        <v>22.5</v>
      </c>
      <c r="H16" s="17">
        <v>0</v>
      </c>
      <c r="I16" s="17">
        <v>22.5</v>
      </c>
      <c r="J16" s="17"/>
      <c r="K16" s="17"/>
      <c r="L16" s="17"/>
      <c r="M16" s="17"/>
      <c r="N16" s="18"/>
      <c r="O16" s="16">
        <v>22.5</v>
      </c>
      <c r="P16" s="17">
        <v>0</v>
      </c>
      <c r="Q16" s="17">
        <v>22.5</v>
      </c>
      <c r="R16" s="17"/>
      <c r="S16" s="17"/>
      <c r="T16" s="17"/>
      <c r="U16" s="17"/>
      <c r="V16" s="18"/>
      <c r="W16" s="16">
        <v>22.5</v>
      </c>
      <c r="X16" s="17">
        <v>0</v>
      </c>
      <c r="Y16" s="17">
        <v>22.5</v>
      </c>
      <c r="Z16" s="17"/>
      <c r="AA16" s="17"/>
      <c r="AB16" s="17"/>
      <c r="AC16" s="17"/>
      <c r="AD16" s="18"/>
      <c r="AE16" s="35"/>
      <c r="AF16" s="35">
        <v>2017</v>
      </c>
    </row>
    <row r="17" spans="2:32" x14ac:dyDescent="0.2">
      <c r="B17" s="16" t="s">
        <v>47</v>
      </c>
      <c r="C17" s="7" t="s">
        <v>39</v>
      </c>
      <c r="D17" s="23" t="s">
        <v>33</v>
      </c>
      <c r="E17" s="7">
        <v>60.795000000000002</v>
      </c>
      <c r="F17" s="7">
        <v>48.377000000000002</v>
      </c>
      <c r="G17" s="16">
        <v>0</v>
      </c>
      <c r="H17" s="17">
        <v>12.417999999999999</v>
      </c>
      <c r="I17" s="17"/>
      <c r="J17" s="17">
        <v>12.417999999999999</v>
      </c>
      <c r="K17" s="17"/>
      <c r="L17" s="17"/>
      <c r="M17" s="17"/>
      <c r="N17" s="18"/>
      <c r="O17" s="16">
        <v>10.763999999999999</v>
      </c>
      <c r="P17" s="17">
        <v>1.6539999999999999</v>
      </c>
      <c r="Q17" s="17">
        <v>10.763999999999999</v>
      </c>
      <c r="R17" s="17">
        <v>1.6539999999999999</v>
      </c>
      <c r="S17" s="17"/>
      <c r="T17" s="17"/>
      <c r="U17" s="17"/>
      <c r="V17" s="18"/>
      <c r="W17" s="16">
        <v>1.593</v>
      </c>
      <c r="X17" s="17">
        <v>10.824999999999999</v>
      </c>
      <c r="Y17" s="17">
        <v>1.593</v>
      </c>
      <c r="Z17" s="17">
        <v>10.824999999999999</v>
      </c>
      <c r="AA17" s="17"/>
      <c r="AB17" s="17"/>
      <c r="AC17" s="17"/>
      <c r="AD17" s="18"/>
      <c r="AE17" s="35"/>
      <c r="AF17" s="35">
        <v>2021</v>
      </c>
    </row>
    <row r="18" spans="2:32" x14ac:dyDescent="0.2">
      <c r="B18" s="16" t="s">
        <v>48</v>
      </c>
      <c r="C18" s="7" t="s">
        <v>39</v>
      </c>
      <c r="D18" s="23">
        <v>100</v>
      </c>
      <c r="E18" s="7">
        <v>82.8</v>
      </c>
      <c r="F18" s="7">
        <v>47.6</v>
      </c>
      <c r="G18" s="31">
        <v>-47.6</v>
      </c>
      <c r="H18" s="17">
        <v>82.8</v>
      </c>
      <c r="I18" s="17"/>
      <c r="J18" s="17">
        <v>79.8</v>
      </c>
      <c r="K18" s="17">
        <v>2.7</v>
      </c>
      <c r="L18" s="17">
        <v>0.3</v>
      </c>
      <c r="M18" s="17"/>
      <c r="N18" s="18"/>
      <c r="O18" s="31">
        <v>-11.000000000000011</v>
      </c>
      <c r="P18" s="17">
        <v>46.2</v>
      </c>
      <c r="Q18" s="17">
        <v>36.6</v>
      </c>
      <c r="R18" s="17">
        <v>9.4</v>
      </c>
      <c r="S18" s="17">
        <v>14.7</v>
      </c>
      <c r="T18" s="17">
        <v>22.1</v>
      </c>
      <c r="U18" s="17"/>
      <c r="V18" s="18"/>
      <c r="W18" s="16">
        <v>34.4</v>
      </c>
      <c r="X18" s="17">
        <v>0.8</v>
      </c>
      <c r="Y18" s="17">
        <v>82</v>
      </c>
      <c r="Z18" s="17"/>
      <c r="AA18" s="17"/>
      <c r="AB18" s="17">
        <v>0.3</v>
      </c>
      <c r="AC18" s="17">
        <v>0.5</v>
      </c>
      <c r="AD18" s="18"/>
      <c r="AE18" s="35" t="s">
        <v>63</v>
      </c>
      <c r="AF18" s="35">
        <v>2021</v>
      </c>
    </row>
    <row r="19" spans="2:32" x14ac:dyDescent="0.2">
      <c r="B19" s="16" t="s">
        <v>35</v>
      </c>
      <c r="C19" s="7" t="s">
        <v>30</v>
      </c>
      <c r="D19" s="23">
        <v>10</v>
      </c>
      <c r="E19" s="7">
        <v>258.27999999999997</v>
      </c>
      <c r="F19" s="7">
        <v>0</v>
      </c>
      <c r="G19" s="16">
        <v>0</v>
      </c>
      <c r="H19" s="17">
        <v>258.27999999999997</v>
      </c>
      <c r="I19" s="17"/>
      <c r="J19" s="17">
        <v>252.81</v>
      </c>
      <c r="K19" s="17">
        <v>3.67</v>
      </c>
      <c r="L19" s="17">
        <v>1.49</v>
      </c>
      <c r="M19" s="17">
        <v>0.31</v>
      </c>
      <c r="N19" s="18"/>
      <c r="O19" s="16">
        <v>0</v>
      </c>
      <c r="P19" s="17">
        <v>258.27999999999997</v>
      </c>
      <c r="Q19" s="17"/>
      <c r="R19" s="17">
        <v>252.44</v>
      </c>
      <c r="S19" s="17">
        <v>0.96</v>
      </c>
      <c r="T19" s="17">
        <v>4.88</v>
      </c>
      <c r="U19" s="17"/>
      <c r="V19" s="18"/>
      <c r="W19" s="16">
        <v>0</v>
      </c>
      <c r="X19" s="17">
        <v>258.27999999999997</v>
      </c>
      <c r="Y19" s="17"/>
      <c r="Z19" s="17">
        <v>252.76</v>
      </c>
      <c r="AA19" s="17">
        <v>0.56000000000000005</v>
      </c>
      <c r="AB19" s="17">
        <v>0.27</v>
      </c>
      <c r="AC19" s="17">
        <v>4.6900000000000004</v>
      </c>
      <c r="AD19" s="18"/>
      <c r="AE19" s="35"/>
      <c r="AF19" s="35">
        <v>2021</v>
      </c>
    </row>
    <row r="20" spans="2:32" x14ac:dyDescent="0.2">
      <c r="B20" s="16" t="s">
        <v>49</v>
      </c>
      <c r="C20" s="7" t="s">
        <v>39</v>
      </c>
      <c r="D20" s="23" t="s">
        <v>33</v>
      </c>
      <c r="E20" s="7">
        <v>30.34</v>
      </c>
      <c r="F20" s="7">
        <v>0</v>
      </c>
      <c r="G20" s="16">
        <v>0</v>
      </c>
      <c r="H20" s="17">
        <v>30.34</v>
      </c>
      <c r="I20" s="17"/>
      <c r="J20" s="17">
        <v>30.34</v>
      </c>
      <c r="K20" s="17"/>
      <c r="L20" s="17"/>
      <c r="M20" s="17"/>
      <c r="N20" s="18"/>
      <c r="O20" s="16">
        <v>0</v>
      </c>
      <c r="P20" s="17">
        <v>30.34</v>
      </c>
      <c r="Q20" s="17"/>
      <c r="R20" s="17">
        <v>1.8</v>
      </c>
      <c r="S20" s="17">
        <v>3.5</v>
      </c>
      <c r="T20" s="17">
        <v>25.04</v>
      </c>
      <c r="U20" s="17"/>
      <c r="V20" s="18"/>
      <c r="W20" s="16">
        <v>26.94</v>
      </c>
      <c r="X20" s="17">
        <v>3.4</v>
      </c>
      <c r="Y20" s="17">
        <v>26.94</v>
      </c>
      <c r="Z20" s="17"/>
      <c r="AA20" s="17">
        <v>0.8</v>
      </c>
      <c r="AB20" s="17">
        <v>1</v>
      </c>
      <c r="AC20" s="17">
        <v>1.6</v>
      </c>
      <c r="AD20" s="18"/>
      <c r="AE20" s="35"/>
      <c r="AF20" s="35">
        <v>2021</v>
      </c>
    </row>
    <row r="21" spans="2:32" x14ac:dyDescent="0.2">
      <c r="B21" s="16" t="s">
        <v>36</v>
      </c>
      <c r="C21" s="7" t="s">
        <v>30</v>
      </c>
      <c r="D21" s="23" t="s">
        <v>33</v>
      </c>
      <c r="E21" s="7">
        <v>344.233</v>
      </c>
      <c r="F21" s="7">
        <v>0</v>
      </c>
      <c r="G21" s="16">
        <v>1.4630000000000221</v>
      </c>
      <c r="H21" s="17">
        <v>342.77</v>
      </c>
      <c r="I21" s="17"/>
      <c r="J21" s="17">
        <v>333.88499999999999</v>
      </c>
      <c r="K21" s="17">
        <v>6.6849999999999996</v>
      </c>
      <c r="L21" s="17">
        <v>1.66</v>
      </c>
      <c r="M21" s="17">
        <v>0.54</v>
      </c>
      <c r="N21" s="18">
        <v>1.4630000000000001</v>
      </c>
      <c r="O21" s="16">
        <v>1.4630000000000221</v>
      </c>
      <c r="P21" s="17">
        <v>342.77</v>
      </c>
      <c r="Q21" s="17"/>
      <c r="R21" s="17">
        <v>335.28</v>
      </c>
      <c r="S21" s="17">
        <v>5.3449999999999998</v>
      </c>
      <c r="T21" s="17">
        <v>2.145</v>
      </c>
      <c r="U21" s="17"/>
      <c r="V21" s="18">
        <v>1.4630000000000001</v>
      </c>
      <c r="W21" s="16">
        <v>1.4630000000000221</v>
      </c>
      <c r="X21" s="17">
        <v>342.77</v>
      </c>
      <c r="Y21" s="17"/>
      <c r="Z21" s="17">
        <v>284.42500000000001</v>
      </c>
      <c r="AA21" s="17"/>
      <c r="AB21" s="17">
        <v>2.9279999999999999</v>
      </c>
      <c r="AC21" s="17">
        <v>55.417000000000002</v>
      </c>
      <c r="AD21" s="18">
        <v>1.4630000000000001</v>
      </c>
      <c r="AE21" s="35" t="s">
        <v>64</v>
      </c>
      <c r="AF21" s="35">
        <v>2021</v>
      </c>
    </row>
    <row r="22" spans="2:32" x14ac:dyDescent="0.2">
      <c r="B22" s="16" t="s">
        <v>37</v>
      </c>
      <c r="C22" s="7" t="s">
        <v>30</v>
      </c>
      <c r="D22" s="23">
        <v>10</v>
      </c>
      <c r="E22" s="7">
        <v>59.63</v>
      </c>
      <c r="F22" s="7">
        <v>0</v>
      </c>
      <c r="G22" s="16">
        <v>0</v>
      </c>
      <c r="H22" s="17">
        <v>59.63</v>
      </c>
      <c r="I22" s="17"/>
      <c r="J22" s="17">
        <v>55.85</v>
      </c>
      <c r="K22" s="17">
        <v>2.23</v>
      </c>
      <c r="L22" s="17">
        <v>1.53</v>
      </c>
      <c r="M22" s="17">
        <v>0.02</v>
      </c>
      <c r="N22" s="18"/>
      <c r="O22" s="16">
        <v>0</v>
      </c>
      <c r="P22" s="17">
        <v>59.63</v>
      </c>
      <c r="Q22" s="17"/>
      <c r="R22" s="17">
        <v>9.5500000000000007</v>
      </c>
      <c r="S22" s="17">
        <v>4.01</v>
      </c>
      <c r="T22" s="17">
        <v>46.07</v>
      </c>
      <c r="U22" s="17"/>
      <c r="V22" s="18"/>
      <c r="W22" s="16">
        <v>0</v>
      </c>
      <c r="X22" s="17">
        <v>59.63</v>
      </c>
      <c r="Y22" s="17"/>
      <c r="Z22" s="17">
        <v>56.45</v>
      </c>
      <c r="AA22" s="17"/>
      <c r="AB22" s="17"/>
      <c r="AC22" s="17">
        <v>3.18</v>
      </c>
      <c r="AD22" s="18"/>
      <c r="AE22" s="35"/>
      <c r="AF22" s="35">
        <v>2021</v>
      </c>
    </row>
    <row r="23" spans="2:32" x14ac:dyDescent="0.2">
      <c r="B23" s="16" t="s">
        <v>50</v>
      </c>
      <c r="C23" s="7" t="s">
        <v>39</v>
      </c>
      <c r="D23" s="23" t="s">
        <v>33</v>
      </c>
      <c r="E23" s="7">
        <v>2.095072</v>
      </c>
      <c r="F23" s="7">
        <v>0</v>
      </c>
      <c r="G23" s="16">
        <v>2.095072</v>
      </c>
      <c r="H23" s="17">
        <v>0</v>
      </c>
      <c r="I23" s="17">
        <v>2.095072</v>
      </c>
      <c r="J23" s="17"/>
      <c r="K23" s="17"/>
      <c r="L23" s="17"/>
      <c r="M23" s="17"/>
      <c r="N23" s="18"/>
      <c r="O23" s="16">
        <v>2.095072</v>
      </c>
      <c r="P23" s="17">
        <v>0</v>
      </c>
      <c r="Q23" s="17">
        <v>2.095072</v>
      </c>
      <c r="R23" s="17"/>
      <c r="S23" s="17"/>
      <c r="T23" s="17"/>
      <c r="U23" s="17"/>
      <c r="V23" s="18"/>
      <c r="W23" s="16">
        <v>2.095072</v>
      </c>
      <c r="X23" s="17">
        <v>0</v>
      </c>
      <c r="Y23" s="17">
        <v>2.095072</v>
      </c>
      <c r="Z23" s="17"/>
      <c r="AA23" s="17"/>
      <c r="AB23" s="17"/>
      <c r="AC23" s="17"/>
      <c r="AD23" s="18"/>
      <c r="AE23" s="35"/>
      <c r="AF23" s="35">
        <v>2017</v>
      </c>
    </row>
    <row r="24" spans="2:32" x14ac:dyDescent="0.2">
      <c r="B24" s="16" t="s">
        <v>43</v>
      </c>
      <c r="C24" s="7" t="s">
        <v>39</v>
      </c>
      <c r="D24" s="23">
        <v>100</v>
      </c>
      <c r="E24" s="7">
        <v>1151.7</v>
      </c>
      <c r="F24" s="7">
        <v>627.9</v>
      </c>
      <c r="G24" s="16">
        <v>523.80000000000007</v>
      </c>
      <c r="H24" s="17">
        <v>0</v>
      </c>
      <c r="I24" s="17">
        <v>523.79999999999995</v>
      </c>
      <c r="J24" s="17"/>
      <c r="K24" s="17"/>
      <c r="L24" s="17"/>
      <c r="M24" s="17"/>
      <c r="N24" s="18"/>
      <c r="O24" s="16">
        <v>523.80000000000007</v>
      </c>
      <c r="P24" s="17">
        <v>0</v>
      </c>
      <c r="Q24" s="17">
        <v>523.79999999999995</v>
      </c>
      <c r="R24" s="17"/>
      <c r="S24" s="17"/>
      <c r="T24" s="17"/>
      <c r="U24" s="17"/>
      <c r="V24" s="18"/>
      <c r="W24" s="16">
        <v>523.80000000000007</v>
      </c>
      <c r="X24" s="17">
        <v>0</v>
      </c>
      <c r="Y24" s="17">
        <v>523.79999999999995</v>
      </c>
      <c r="Z24" s="17"/>
      <c r="AA24" s="17"/>
      <c r="AB24" s="17"/>
      <c r="AC24" s="17"/>
      <c r="AD24" s="18"/>
      <c r="AE24" s="35"/>
      <c r="AF24" s="35">
        <v>2017</v>
      </c>
    </row>
    <row r="25" spans="2:32" x14ac:dyDescent="0.2">
      <c r="B25" s="16" t="s">
        <v>44</v>
      </c>
      <c r="C25" s="7" t="s">
        <v>39</v>
      </c>
      <c r="D25" s="23" t="s">
        <v>33</v>
      </c>
      <c r="E25" s="7">
        <v>481.863</v>
      </c>
      <c r="F25" s="7">
        <v>246.27699999999999</v>
      </c>
      <c r="G25" s="16">
        <v>232.27099999999999</v>
      </c>
      <c r="H25" s="17">
        <v>3.3149999999999999</v>
      </c>
      <c r="I25" s="17">
        <v>232.27099999999999</v>
      </c>
      <c r="J25" s="17">
        <v>1.633</v>
      </c>
      <c r="K25" s="17">
        <v>1.6819999999999999</v>
      </c>
      <c r="L25" s="17"/>
      <c r="M25" s="17"/>
      <c r="N25" s="18"/>
      <c r="O25" s="16">
        <v>235.58600000000001</v>
      </c>
      <c r="P25" s="17">
        <v>0</v>
      </c>
      <c r="Q25" s="17">
        <v>235.58600000000001</v>
      </c>
      <c r="R25" s="17"/>
      <c r="S25" s="17"/>
      <c r="T25" s="17"/>
      <c r="U25" s="17"/>
      <c r="V25" s="18"/>
      <c r="W25" s="16">
        <v>234.48599999999999</v>
      </c>
      <c r="X25" s="17">
        <v>1.1000000000000001</v>
      </c>
      <c r="Y25" s="17">
        <v>234.48599999999999</v>
      </c>
      <c r="Z25" s="17"/>
      <c r="AA25" s="17">
        <v>1.1000000000000001</v>
      </c>
      <c r="AB25" s="17"/>
      <c r="AC25" s="17"/>
      <c r="AD25" s="18"/>
      <c r="AE25" s="35"/>
      <c r="AF25" s="35">
        <v>2021</v>
      </c>
    </row>
    <row r="26" spans="2:32" x14ac:dyDescent="0.2">
      <c r="B26" s="16" t="s">
        <v>51</v>
      </c>
      <c r="C26" s="7" t="s">
        <v>39</v>
      </c>
      <c r="D26" s="23" t="s">
        <v>33</v>
      </c>
      <c r="E26" s="7">
        <v>75.626000000000005</v>
      </c>
      <c r="F26" s="7">
        <v>0</v>
      </c>
      <c r="G26" s="16">
        <v>75.626000000000005</v>
      </c>
      <c r="H26" s="17">
        <v>0</v>
      </c>
      <c r="I26" s="17">
        <v>3.177</v>
      </c>
      <c r="J26" s="17">
        <v>53.817</v>
      </c>
      <c r="K26" s="17">
        <v>13.753</v>
      </c>
      <c r="L26" s="17"/>
      <c r="M26" s="17"/>
      <c r="N26" s="18"/>
      <c r="O26" s="16">
        <v>75.626000000000005</v>
      </c>
      <c r="P26" s="17">
        <v>0</v>
      </c>
      <c r="Q26" s="17">
        <v>3.177</v>
      </c>
      <c r="R26" s="17">
        <v>67.569999999999993</v>
      </c>
      <c r="S26" s="17"/>
      <c r="T26" s="17"/>
      <c r="U26" s="17"/>
      <c r="V26" s="18"/>
      <c r="W26" s="16">
        <v>75.626000000000005</v>
      </c>
      <c r="X26" s="17">
        <v>0</v>
      </c>
      <c r="Y26" s="17">
        <v>7.6</v>
      </c>
      <c r="Z26" s="17">
        <v>66.131</v>
      </c>
      <c r="AA26" s="17">
        <v>1.5820000000000001</v>
      </c>
      <c r="AB26" s="17"/>
      <c r="AC26" s="17"/>
      <c r="AD26" s="18"/>
      <c r="AE26" s="35"/>
      <c r="AF26" s="35">
        <v>2021</v>
      </c>
    </row>
    <row r="27" spans="2:32" x14ac:dyDescent="0.2">
      <c r="B27" s="16" t="s">
        <v>52</v>
      </c>
      <c r="C27" s="7" t="s">
        <v>39</v>
      </c>
      <c r="D27" s="23">
        <v>10</v>
      </c>
      <c r="E27" s="7">
        <v>675.84</v>
      </c>
      <c r="F27" s="7">
        <v>288.56</v>
      </c>
      <c r="G27" s="16">
        <v>5.6843418860808009E-14</v>
      </c>
      <c r="H27" s="17">
        <v>387.28</v>
      </c>
      <c r="I27" s="17"/>
      <c r="J27" s="17">
        <v>344.8</v>
      </c>
      <c r="K27" s="17">
        <v>31.34</v>
      </c>
      <c r="L27" s="17">
        <v>10.68</v>
      </c>
      <c r="M27" s="17">
        <v>0.46</v>
      </c>
      <c r="N27" s="18"/>
      <c r="O27" s="16">
        <v>387.28</v>
      </c>
      <c r="P27" s="17">
        <v>0</v>
      </c>
      <c r="Q27" s="17">
        <v>387.29</v>
      </c>
      <c r="R27" s="17"/>
      <c r="S27" s="17"/>
      <c r="T27" s="17"/>
      <c r="U27" s="17"/>
      <c r="V27" s="18"/>
      <c r="W27" s="16">
        <v>387.28</v>
      </c>
      <c r="X27" s="17">
        <v>0</v>
      </c>
      <c r="Y27" s="17">
        <v>387.29</v>
      </c>
      <c r="Z27" s="17"/>
      <c r="AA27" s="17"/>
      <c r="AB27" s="17"/>
      <c r="AC27" s="17"/>
      <c r="AD27" s="18"/>
      <c r="AE27" s="35"/>
      <c r="AF27" s="35">
        <v>2021</v>
      </c>
    </row>
    <row r="28" spans="2:32" x14ac:dyDescent="0.2">
      <c r="B28" s="38" t="s">
        <v>54</v>
      </c>
      <c r="C28" s="32"/>
      <c r="D28" s="23"/>
      <c r="E28" s="33">
        <f>SUM(Tabelle13[Durchgangsstrasse '[km']])</f>
        <v>6870.3151720000014</v>
      </c>
      <c r="F28" s="7">
        <f>SUM(Tabelle13[KB-befreit '[km']])</f>
        <v>1781.394</v>
      </c>
      <c r="G28" s="7">
        <f>SUM(Tabelle13[Zu beurteilen AmpelcodePers '[km']])</f>
        <v>1245.3000720000002</v>
      </c>
      <c r="H28" s="7">
        <f>SUM(Tabelle13[Beurteilt AmpelcodePers '[km']])</f>
        <v>3843.6211000000003</v>
      </c>
      <c r="I28" s="7">
        <f>SUM(Tabelle13[AmpelcodePers0])</f>
        <v>900.44307199999992</v>
      </c>
      <c r="J28" s="7">
        <f>SUM(Tabelle13[AmpelcodePers1])</f>
        <v>3704.2872000000002</v>
      </c>
      <c r="K28" s="7">
        <f>SUM(Tabelle13[AmpelcodePers2])</f>
        <v>160.33189999999999</v>
      </c>
      <c r="L28" s="7">
        <f>SUM(Tabelle13[AmpelcodePers3])</f>
        <v>41.141000000000005</v>
      </c>
      <c r="M28" s="33">
        <f>SUM(Tabelle13[AmpelcodePers4])</f>
        <v>5.4309999999999992</v>
      </c>
      <c r="N28" s="7">
        <f>SUM(Tabelle13[AmpelcodePers5])</f>
        <v>151.30799999999999</v>
      </c>
      <c r="O28" s="7">
        <f>SUM(Tabelle13[Zu beurteilen AmpelcodeOFG '[km']])</f>
        <v>1653.7590720000003</v>
      </c>
      <c r="P28" s="7">
        <f>SUM(Tabelle13[Beurteilt AmpelcodeOFG '[km']])</f>
        <v>3435.1621</v>
      </c>
      <c r="Q28" s="7">
        <f>SUM(Tabelle13[AmpelcodeOFG0])</f>
        <v>1337.212072</v>
      </c>
      <c r="R28" s="7">
        <f>SUM(Tabelle13[AmpelcodeOFG1])</f>
        <v>2888.8525000000004</v>
      </c>
      <c r="S28" s="7">
        <f>SUM(Tabelle13[AmpelcodeOFG2])</f>
        <v>194.44649999999999</v>
      </c>
      <c r="T28" s="7">
        <f>SUM(Tabelle13[AmpelcodeOFG3])</f>
        <v>417.90309999999994</v>
      </c>
      <c r="U28" s="33">
        <f>SUM(Tabelle13[AmpelcodeOFG4])</f>
        <v>1.53</v>
      </c>
      <c r="V28" s="7">
        <f>SUM(Tabelle13[AmpelcodeOFG5])</f>
        <v>151.30799999999999</v>
      </c>
      <c r="W28" s="7">
        <f>SUM(Tabelle13[Zu beurteilen AmpelcodeGW '[km']])</f>
        <v>1731.3280720000002</v>
      </c>
      <c r="X28" s="7">
        <f>SUM(Tabelle13[Beurteilt AmpelcodeGW '[km']])</f>
        <v>3357.5930999999996</v>
      </c>
      <c r="Y28" s="7">
        <f>SUM(Tabelle13[AmpelcodeGW0])</f>
        <v>1403.704072</v>
      </c>
      <c r="Z28" s="7">
        <f>SUM(Tabelle13[AmpelcodeGW1])</f>
        <v>2951.7017000000001</v>
      </c>
      <c r="AA28" s="7">
        <f>SUM(Tabelle13[AmpelcodeGW2])</f>
        <v>15.053000000000003</v>
      </c>
      <c r="AB28" s="7">
        <f>SUM(Tabelle13[AmpelcodeGW3])</f>
        <v>86.497399999999999</v>
      </c>
      <c r="AC28" s="33">
        <f>SUM(Tabelle13[AmpelcodeGW4])</f>
        <v>372.05400000000003</v>
      </c>
      <c r="AD28" s="7">
        <f>SUM(Tabelle13[AmpelcodeGW5])</f>
        <v>151.30799999999999</v>
      </c>
      <c r="AE28" s="6"/>
      <c r="AF28" s="6"/>
    </row>
    <row r="30" spans="2:32" x14ac:dyDescent="0.2">
      <c r="B30" s="3" t="s">
        <v>61</v>
      </c>
    </row>
    <row r="31" spans="2:32" ht="48" x14ac:dyDescent="0.2">
      <c r="B31" s="8" t="s">
        <v>0</v>
      </c>
      <c r="C31" s="8" t="s">
        <v>1</v>
      </c>
      <c r="D31" s="8" t="s">
        <v>2</v>
      </c>
      <c r="E31" s="8" t="s">
        <v>3</v>
      </c>
      <c r="F31" s="8" t="s">
        <v>4</v>
      </c>
      <c r="G31" s="8" t="s">
        <v>5</v>
      </c>
      <c r="H31" s="8" t="s">
        <v>6</v>
      </c>
      <c r="I31" s="8" t="s">
        <v>7</v>
      </c>
      <c r="J31" s="9" t="s">
        <v>8</v>
      </c>
      <c r="K31" s="11" t="s">
        <v>9</v>
      </c>
      <c r="L31" s="10" t="s">
        <v>10</v>
      </c>
      <c r="M31" s="12" t="s">
        <v>11</v>
      </c>
      <c r="N31" s="8" t="s">
        <v>12</v>
      </c>
      <c r="O31" s="8" t="s">
        <v>13</v>
      </c>
      <c r="P31" s="8" t="s">
        <v>14</v>
      </c>
      <c r="Q31" s="8" t="s">
        <v>15</v>
      </c>
      <c r="R31" s="9" t="s">
        <v>16</v>
      </c>
      <c r="S31" s="11" t="s">
        <v>17</v>
      </c>
      <c r="T31" s="10" t="s">
        <v>18</v>
      </c>
      <c r="U31" s="12" t="s">
        <v>19</v>
      </c>
      <c r="V31" s="8" t="s">
        <v>20</v>
      </c>
      <c r="W31" s="8" t="s">
        <v>21</v>
      </c>
      <c r="X31" s="8" t="s">
        <v>22</v>
      </c>
      <c r="Y31" s="8" t="s">
        <v>23</v>
      </c>
      <c r="Z31" s="9" t="s">
        <v>24</v>
      </c>
      <c r="AA31" s="11" t="s">
        <v>25</v>
      </c>
      <c r="AB31" s="10" t="s">
        <v>26</v>
      </c>
      <c r="AC31" s="12" t="s">
        <v>27</v>
      </c>
      <c r="AD31" s="8" t="s">
        <v>28</v>
      </c>
      <c r="AE31" s="8" t="s">
        <v>62</v>
      </c>
      <c r="AF31" s="8" t="s">
        <v>66</v>
      </c>
    </row>
    <row r="32" spans="2:32" x14ac:dyDescent="0.2">
      <c r="B32" s="30" t="s">
        <v>55</v>
      </c>
      <c r="C32" s="7"/>
      <c r="D32" s="23"/>
      <c r="E32" s="7">
        <v>0</v>
      </c>
      <c r="F32" s="7"/>
      <c r="G32" s="13"/>
      <c r="H32" s="14"/>
      <c r="I32" s="14"/>
      <c r="J32" s="14"/>
      <c r="K32" s="14"/>
      <c r="L32" s="14"/>
      <c r="M32" s="14"/>
      <c r="N32" s="15"/>
      <c r="O32" s="13"/>
      <c r="P32" s="14"/>
      <c r="Q32" s="14"/>
      <c r="R32" s="14"/>
      <c r="S32" s="14"/>
      <c r="T32" s="14"/>
      <c r="U32" s="14"/>
      <c r="V32" s="15"/>
      <c r="W32" s="13"/>
      <c r="X32" s="14"/>
      <c r="Y32" s="14"/>
      <c r="Z32" s="14"/>
      <c r="AA32" s="14"/>
      <c r="AB32" s="14"/>
      <c r="AC32" s="14"/>
      <c r="AD32" s="15"/>
      <c r="AE32" s="34" t="s">
        <v>69</v>
      </c>
      <c r="AF32" s="36" t="s">
        <v>67</v>
      </c>
    </row>
    <row r="33" spans="2:32" x14ac:dyDescent="0.2">
      <c r="B33" s="19" t="s">
        <v>59</v>
      </c>
      <c r="C33" s="7"/>
      <c r="D33" s="23"/>
      <c r="E33" s="7">
        <f>89+8</f>
        <v>97</v>
      </c>
      <c r="F33" s="7"/>
      <c r="G33" s="16"/>
      <c r="H33" s="17"/>
      <c r="I33" s="17"/>
      <c r="J33" s="17"/>
      <c r="K33" s="17"/>
      <c r="L33" s="17"/>
      <c r="M33" s="17"/>
      <c r="N33" s="18"/>
      <c r="O33" s="16"/>
      <c r="P33" s="17"/>
      <c r="Q33" s="17"/>
      <c r="R33" s="17"/>
      <c r="S33" s="17"/>
      <c r="T33" s="17"/>
      <c r="U33" s="17"/>
      <c r="V33" s="18"/>
      <c r="W33" s="16"/>
      <c r="X33" s="17"/>
      <c r="Y33" s="17"/>
      <c r="Z33" s="17"/>
      <c r="AA33" s="17"/>
      <c r="AB33" s="17"/>
      <c r="AC33" s="17"/>
      <c r="AD33" s="18"/>
      <c r="AE33" s="35" t="s">
        <v>70</v>
      </c>
      <c r="AF33" s="35">
        <v>2017</v>
      </c>
    </row>
    <row r="34" spans="2:32" x14ac:dyDescent="0.2">
      <c r="B34" s="19" t="s">
        <v>60</v>
      </c>
      <c r="C34" s="7"/>
      <c r="D34" s="23"/>
      <c r="E34" s="7">
        <v>72.5</v>
      </c>
      <c r="F34" s="7"/>
      <c r="G34" s="16">
        <v>72.5</v>
      </c>
      <c r="H34" s="17"/>
      <c r="I34" s="17"/>
      <c r="J34" s="17"/>
      <c r="K34" s="17"/>
      <c r="L34" s="17"/>
      <c r="M34" s="17"/>
      <c r="N34" s="18"/>
      <c r="O34" s="16"/>
      <c r="P34" s="17"/>
      <c r="Q34" s="17"/>
      <c r="R34" s="17"/>
      <c r="S34" s="17"/>
      <c r="T34" s="17"/>
      <c r="U34" s="17"/>
      <c r="V34" s="18"/>
      <c r="W34" s="16"/>
      <c r="X34" s="17"/>
      <c r="Y34" s="17"/>
      <c r="Z34" s="17"/>
      <c r="AA34" s="17"/>
      <c r="AB34" s="17"/>
      <c r="AC34" s="17"/>
      <c r="AD34" s="18"/>
      <c r="AE34" s="35" t="s">
        <v>69</v>
      </c>
      <c r="AF34" s="35">
        <v>2017</v>
      </c>
    </row>
    <row r="35" spans="2:32" x14ac:dyDescent="0.2">
      <c r="B35" s="19" t="s">
        <v>58</v>
      </c>
      <c r="C35" s="25" t="s">
        <v>30</v>
      </c>
      <c r="D35" s="23">
        <v>100</v>
      </c>
      <c r="E35" s="7">
        <v>731.1</v>
      </c>
      <c r="F35" s="7"/>
      <c r="G35" s="16"/>
      <c r="H35" s="17"/>
      <c r="I35" s="17"/>
      <c r="J35" s="17"/>
      <c r="K35" s="17"/>
      <c r="L35" s="17"/>
      <c r="M35" s="17">
        <v>0</v>
      </c>
      <c r="N35" s="18"/>
      <c r="O35" s="16"/>
      <c r="P35" s="17"/>
      <c r="Q35" s="17"/>
      <c r="R35" s="17"/>
      <c r="S35" s="17"/>
      <c r="T35" s="17"/>
      <c r="U35" s="17"/>
      <c r="V35" s="18"/>
      <c r="W35" s="16"/>
      <c r="X35" s="17"/>
      <c r="Y35" s="17"/>
      <c r="Z35" s="17"/>
      <c r="AA35" s="17"/>
      <c r="AB35" s="17"/>
      <c r="AC35" s="17"/>
      <c r="AD35" s="18"/>
      <c r="AE35" s="35"/>
      <c r="AF35" s="35">
        <v>2021</v>
      </c>
    </row>
    <row r="36" spans="2:32" x14ac:dyDescent="0.2">
      <c r="B36" s="19" t="s">
        <v>57</v>
      </c>
      <c r="C36" s="25" t="s">
        <v>30</v>
      </c>
      <c r="D36" s="24">
        <v>100</v>
      </c>
      <c r="E36" s="7">
        <v>469.7</v>
      </c>
      <c r="F36" s="22"/>
      <c r="G36" s="19"/>
      <c r="H36" s="20"/>
      <c r="I36" s="20"/>
      <c r="J36" s="20"/>
      <c r="K36" s="20"/>
      <c r="L36" s="20"/>
      <c r="M36" s="20">
        <v>0</v>
      </c>
      <c r="N36" s="21"/>
      <c r="O36" s="19"/>
      <c r="P36" s="20"/>
      <c r="Q36" s="20"/>
      <c r="R36" s="20"/>
      <c r="S36" s="20"/>
      <c r="T36" s="20"/>
      <c r="U36" s="20"/>
      <c r="V36" s="21"/>
      <c r="W36" s="19"/>
      <c r="X36" s="20"/>
      <c r="Y36" s="20"/>
      <c r="Z36" s="20"/>
      <c r="AA36" s="20"/>
      <c r="AB36" s="20"/>
      <c r="AC36" s="20"/>
      <c r="AD36" s="21"/>
      <c r="AE36" s="35"/>
      <c r="AF36" s="35">
        <v>2021</v>
      </c>
    </row>
    <row r="37" spans="2:32" x14ac:dyDescent="0.2">
      <c r="B37" s="38" t="s">
        <v>54</v>
      </c>
      <c r="C37" s="32"/>
      <c r="D37" s="23"/>
      <c r="E37" s="33">
        <f>SUM(Tabelle132[Durchgangsstrasse '[km']])</f>
        <v>1370.3</v>
      </c>
      <c r="F37" s="7">
        <f>SUM(Tabelle132[KB-befreit '[km']])</f>
        <v>0</v>
      </c>
      <c r="G37" s="7">
        <f>SUM(Tabelle132[Zu beurteilen AmpelcodePers '[km']])</f>
        <v>72.5</v>
      </c>
      <c r="H37" s="7">
        <f>SUM(Tabelle132[Beurteilt AmpelcodePers '[km']])</f>
        <v>0</v>
      </c>
      <c r="I37" s="7">
        <f>SUM(Tabelle132[AmpelcodePers0])</f>
        <v>0</v>
      </c>
      <c r="J37" s="7">
        <f>SUM(Tabelle132[AmpelcodePers1])</f>
        <v>0</v>
      </c>
      <c r="K37" s="7">
        <f>SUM(Tabelle132[AmpelcodePers2])</f>
        <v>0</v>
      </c>
      <c r="L37" s="7">
        <f>SUM(Tabelle132[AmpelcodePers3])</f>
        <v>0</v>
      </c>
      <c r="M37" s="33">
        <f>SUM(Tabelle132[AmpelcodePers4])</f>
        <v>0</v>
      </c>
      <c r="N37" s="7">
        <f>SUM(Tabelle132[AmpelcodePers5])</f>
        <v>0</v>
      </c>
      <c r="O37" s="7">
        <f>SUM(Tabelle132[Zu beurteilen AmpelcodeOFG '[km']])</f>
        <v>0</v>
      </c>
      <c r="P37" s="7">
        <f>SUM(Tabelle132[Beurteilt AmpelcodeOFG '[km']])</f>
        <v>0</v>
      </c>
      <c r="Q37" s="7">
        <f>SUM(Tabelle132[AmpelcodeOFG0])</f>
        <v>0</v>
      </c>
      <c r="R37" s="7">
        <f>SUM(Tabelle132[AmpelcodeOFG1])</f>
        <v>0</v>
      </c>
      <c r="S37" s="7">
        <f>SUM(Tabelle132[AmpelcodeOFG2])</f>
        <v>0</v>
      </c>
      <c r="T37" s="7">
        <f>SUM(Tabelle132[AmpelcodeOFG3])</f>
        <v>0</v>
      </c>
      <c r="U37" s="33">
        <f>SUM(Tabelle132[AmpelcodeOFG4])</f>
        <v>0</v>
      </c>
      <c r="V37" s="7">
        <f>SUM(Tabelle132[AmpelcodeOFG5])</f>
        <v>0</v>
      </c>
      <c r="W37" s="7">
        <f>SUM(Tabelle132[Zu beurteilen AmpelcodeGW '[km']])</f>
        <v>0</v>
      </c>
      <c r="X37" s="7">
        <f>SUM(Tabelle132[Beurteilt AmpelcodeGW '[km']])</f>
        <v>0</v>
      </c>
      <c r="Y37" s="7">
        <f>SUM(Tabelle132[AmpelcodeGW0])</f>
        <v>0</v>
      </c>
      <c r="Z37" s="7">
        <f>SUM(Tabelle132[AmpelcodeGW1])</f>
        <v>0</v>
      </c>
      <c r="AA37" s="7">
        <f>SUM(Tabelle132[AmpelcodeGW2])</f>
        <v>0</v>
      </c>
      <c r="AB37" s="7">
        <f>SUM(Tabelle132[AmpelcodeGW3])</f>
        <v>0</v>
      </c>
      <c r="AC37" s="33">
        <f>SUM(Tabelle132[AmpelcodeGW4])</f>
        <v>0</v>
      </c>
      <c r="AD37" s="7">
        <f>SUM(Tabelle132[AmpelcodeGW5])</f>
        <v>0</v>
      </c>
      <c r="AE37" s="6"/>
      <c r="AF37" s="6"/>
    </row>
    <row r="38" spans="2:32" ht="12.75" thickBot="1" x14ac:dyDescent="0.25"/>
    <row r="39" spans="2:32" ht="13.5" thickTop="1" thickBot="1" x14ac:dyDescent="0.25">
      <c r="B39" s="37" t="s">
        <v>68</v>
      </c>
      <c r="C39" s="26"/>
      <c r="D39" s="27"/>
      <c r="E39" s="29">
        <f>SUM(E28,E37)</f>
        <v>8240.6151720000016</v>
      </c>
      <c r="F39" s="28">
        <f t="shared" ref="F39:AD39" si="0">SUM(F28,F37)</f>
        <v>1781.394</v>
      </c>
      <c r="G39" s="28">
        <f t="shared" si="0"/>
        <v>1317.8000720000002</v>
      </c>
      <c r="H39" s="28">
        <f t="shared" si="0"/>
        <v>3843.6211000000003</v>
      </c>
      <c r="I39" s="28">
        <f t="shared" si="0"/>
        <v>900.44307199999992</v>
      </c>
      <c r="J39" s="28">
        <f t="shared" si="0"/>
        <v>3704.2872000000002</v>
      </c>
      <c r="K39" s="28">
        <f t="shared" si="0"/>
        <v>160.33189999999999</v>
      </c>
      <c r="L39" s="28">
        <f t="shared" si="0"/>
        <v>41.141000000000005</v>
      </c>
      <c r="M39" s="29">
        <f t="shared" si="0"/>
        <v>5.4309999999999992</v>
      </c>
      <c r="N39" s="28">
        <f t="shared" si="0"/>
        <v>151.30799999999999</v>
      </c>
      <c r="O39" s="28">
        <f t="shared" si="0"/>
        <v>1653.7590720000003</v>
      </c>
      <c r="P39" s="28">
        <f t="shared" si="0"/>
        <v>3435.1621</v>
      </c>
      <c r="Q39" s="28">
        <f t="shared" si="0"/>
        <v>1337.212072</v>
      </c>
      <c r="R39" s="28">
        <f t="shared" si="0"/>
        <v>2888.8525000000004</v>
      </c>
      <c r="S39" s="28">
        <f t="shared" si="0"/>
        <v>194.44649999999999</v>
      </c>
      <c r="T39" s="28">
        <f t="shared" si="0"/>
        <v>417.90309999999994</v>
      </c>
      <c r="U39" s="29">
        <f t="shared" si="0"/>
        <v>1.53</v>
      </c>
      <c r="V39" s="28">
        <f t="shared" si="0"/>
        <v>151.30799999999999</v>
      </c>
      <c r="W39" s="28">
        <f t="shared" si="0"/>
        <v>1731.3280720000002</v>
      </c>
      <c r="X39" s="28">
        <f t="shared" si="0"/>
        <v>3357.5930999999996</v>
      </c>
      <c r="Y39" s="28">
        <f t="shared" si="0"/>
        <v>1403.704072</v>
      </c>
      <c r="Z39" s="28">
        <f t="shared" si="0"/>
        <v>2951.7017000000001</v>
      </c>
      <c r="AA39" s="28">
        <f t="shared" si="0"/>
        <v>15.053000000000003</v>
      </c>
      <c r="AB39" s="28">
        <f t="shared" si="0"/>
        <v>86.497399999999999</v>
      </c>
      <c r="AC39" s="29">
        <f t="shared" si="0"/>
        <v>372.05400000000003</v>
      </c>
      <c r="AD39" s="28">
        <f t="shared" si="0"/>
        <v>151.30799999999999</v>
      </c>
      <c r="AE39" s="28"/>
      <c r="AF39" s="28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ERKAS 2021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Denzinger Florian BAFU</dc:creator>
  <cp:lastModifiedBy>Denzinger Florian BAFU</cp:lastModifiedBy>
  <dcterms:created xsi:type="dcterms:W3CDTF">2022-03-01T07:28:35Z</dcterms:created>
  <dcterms:modified xsi:type="dcterms:W3CDTF">2022-06-30T16:06:12Z</dcterms:modified>
</cp:coreProperties>
</file>