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ulton\AppData\Local\Microsoft\Windows\Temporary Internet Files\Content.Outlook\9285CY7E\"/>
    </mc:Choice>
  </mc:AlternateContent>
  <bookViews>
    <workbookView xWindow="1140" yWindow="570" windowWidth="18855" windowHeight="11700"/>
  </bookViews>
  <sheets>
    <sheet name="Trial Balance" sheetId="1" r:id="rId1"/>
  </sheets>
  <calcPr calcId="152511"/>
</workbook>
</file>

<file path=xl/calcChain.xml><?xml version="1.0" encoding="utf-8"?>
<calcChain xmlns="http://schemas.openxmlformats.org/spreadsheetml/2006/main">
  <c r="G6" i="1" l="1"/>
  <c r="F7" i="1"/>
  <c r="G7" i="1"/>
  <c r="F8" i="1"/>
  <c r="G8" i="1"/>
  <c r="H8" i="1"/>
  <c r="F9" i="1"/>
  <c r="G9" i="1"/>
  <c r="H9" i="1"/>
  <c r="F10" i="1"/>
  <c r="G10" i="1"/>
  <c r="F11" i="1"/>
  <c r="G11" i="1"/>
  <c r="F12" i="1"/>
  <c r="G12" i="1"/>
  <c r="H12" i="1"/>
  <c r="F13" i="1"/>
  <c r="G13" i="1"/>
  <c r="F14" i="1"/>
  <c r="G14" i="1"/>
  <c r="F15" i="1"/>
  <c r="G15" i="1"/>
  <c r="F16" i="1"/>
  <c r="G16" i="1"/>
  <c r="H16" i="1"/>
  <c r="F17" i="1"/>
  <c r="G17" i="1"/>
  <c r="H17" i="1"/>
  <c r="F18" i="1"/>
  <c r="G18" i="1"/>
  <c r="F19" i="1"/>
  <c r="G19" i="1"/>
  <c r="F20" i="1"/>
  <c r="G20" i="1"/>
  <c r="H20" i="1"/>
  <c r="F21" i="1"/>
  <c r="G21" i="1"/>
  <c r="F22" i="1"/>
  <c r="G22" i="1"/>
  <c r="F23" i="1"/>
  <c r="G23" i="1"/>
  <c r="F24" i="1"/>
  <c r="G24" i="1"/>
  <c r="H24" i="1"/>
  <c r="F25" i="1"/>
  <c r="G25" i="1"/>
  <c r="H25" i="1"/>
  <c r="F26" i="1"/>
  <c r="G26" i="1"/>
  <c r="F27" i="1"/>
  <c r="G27" i="1"/>
  <c r="F28" i="1"/>
  <c r="G28" i="1"/>
  <c r="H28" i="1"/>
  <c r="F29" i="1"/>
  <c r="G29" i="1"/>
  <c r="F30" i="1"/>
  <c r="G30" i="1"/>
  <c r="F31" i="1"/>
  <c r="G31" i="1"/>
  <c r="F32" i="1"/>
  <c r="G32" i="1"/>
  <c r="H32" i="1"/>
  <c r="F33" i="1"/>
  <c r="G33" i="1"/>
  <c r="H33" i="1"/>
  <c r="F34" i="1"/>
  <c r="G34" i="1"/>
  <c r="F35" i="1"/>
  <c r="G35" i="1"/>
  <c r="F36" i="1"/>
  <c r="G36" i="1"/>
  <c r="H36" i="1"/>
  <c r="F37" i="1"/>
  <c r="G37" i="1"/>
  <c r="F38" i="1"/>
  <c r="G38" i="1"/>
  <c r="F39" i="1"/>
  <c r="G39" i="1"/>
  <c r="F40" i="1"/>
  <c r="G40" i="1"/>
  <c r="H40" i="1"/>
  <c r="F41" i="1"/>
  <c r="G41" i="1"/>
  <c r="H41" i="1"/>
  <c r="F42" i="1"/>
  <c r="G42" i="1"/>
  <c r="F43" i="1"/>
  <c r="G43" i="1"/>
  <c r="F44" i="1"/>
  <c r="G44" i="1"/>
  <c r="H44" i="1"/>
  <c r="F45" i="1"/>
  <c r="G45" i="1"/>
  <c r="H45" i="1"/>
  <c r="F46" i="1"/>
  <c r="G46" i="1"/>
  <c r="F47" i="1"/>
  <c r="G47" i="1"/>
  <c r="F48" i="1"/>
  <c r="G48" i="1"/>
  <c r="H48" i="1"/>
  <c r="F49" i="1"/>
  <c r="G49" i="1"/>
  <c r="H49" i="1"/>
  <c r="F50" i="1"/>
  <c r="G50" i="1"/>
  <c r="F51" i="1"/>
  <c r="G51" i="1"/>
  <c r="F52" i="1"/>
  <c r="G52" i="1"/>
  <c r="H52" i="1"/>
  <c r="F53" i="1"/>
  <c r="G53" i="1"/>
  <c r="H53" i="1"/>
  <c r="F54" i="1"/>
  <c r="G54" i="1"/>
  <c r="F55" i="1"/>
  <c r="G55" i="1"/>
  <c r="F56" i="1"/>
  <c r="G56" i="1"/>
  <c r="H56" i="1"/>
  <c r="F57" i="1"/>
  <c r="G57" i="1"/>
  <c r="H57" i="1"/>
  <c r="F58" i="1"/>
  <c r="G58" i="1"/>
  <c r="F59" i="1"/>
  <c r="G59" i="1"/>
  <c r="F60" i="1"/>
  <c r="G60" i="1"/>
  <c r="H60" i="1"/>
  <c r="F61" i="1"/>
  <c r="G61" i="1"/>
  <c r="H61" i="1"/>
  <c r="F62" i="1"/>
  <c r="G62" i="1"/>
  <c r="F63" i="1"/>
  <c r="G63" i="1"/>
  <c r="F64" i="1"/>
  <c r="G64" i="1"/>
  <c r="H64" i="1"/>
  <c r="F65" i="1"/>
  <c r="G65" i="1"/>
  <c r="H65" i="1"/>
  <c r="F66" i="1"/>
  <c r="G66" i="1"/>
  <c r="F67" i="1"/>
  <c r="G67" i="1"/>
  <c r="F68" i="1"/>
  <c r="G68" i="1"/>
  <c r="H68" i="1"/>
  <c r="F69" i="1"/>
  <c r="G69" i="1"/>
  <c r="H69" i="1"/>
  <c r="F70" i="1"/>
  <c r="G70" i="1"/>
  <c r="F71" i="1"/>
  <c r="G71" i="1"/>
  <c r="F72" i="1"/>
  <c r="G72" i="1"/>
  <c r="H72" i="1"/>
  <c r="F73" i="1"/>
  <c r="G73" i="1"/>
  <c r="H73" i="1"/>
  <c r="F74" i="1"/>
  <c r="G74" i="1"/>
  <c r="F75" i="1"/>
  <c r="G75" i="1"/>
  <c r="F76" i="1"/>
  <c r="G76" i="1"/>
  <c r="H76" i="1"/>
  <c r="F77" i="1"/>
  <c r="G77" i="1"/>
  <c r="H77" i="1"/>
  <c r="F78" i="1"/>
  <c r="G78" i="1"/>
  <c r="F79" i="1"/>
  <c r="G79" i="1"/>
  <c r="F80" i="1"/>
  <c r="G80" i="1"/>
  <c r="H80" i="1"/>
  <c r="F81" i="1"/>
  <c r="G81" i="1"/>
  <c r="H81" i="1"/>
  <c r="F82" i="1"/>
  <c r="G82" i="1"/>
  <c r="F83" i="1"/>
  <c r="G83" i="1"/>
  <c r="F6" i="1"/>
  <c r="C83" i="1"/>
  <c r="H83" i="1" s="1"/>
  <c r="B82" i="1"/>
  <c r="H82" i="1" s="1"/>
  <c r="B81" i="1"/>
  <c r="B80" i="1"/>
  <c r="B79" i="1"/>
  <c r="H79" i="1" s="1"/>
  <c r="B78" i="1"/>
  <c r="H78" i="1" s="1"/>
  <c r="B77" i="1"/>
  <c r="B76" i="1"/>
  <c r="B75" i="1"/>
  <c r="H75" i="1" s="1"/>
  <c r="B74" i="1"/>
  <c r="H74" i="1" s="1"/>
  <c r="B73" i="1"/>
  <c r="B72" i="1"/>
  <c r="B71" i="1"/>
  <c r="H71" i="1" s="1"/>
  <c r="B70" i="1"/>
  <c r="H70" i="1" s="1"/>
  <c r="B69" i="1"/>
  <c r="B68" i="1"/>
  <c r="B67" i="1"/>
  <c r="H67" i="1" s="1"/>
  <c r="B66" i="1"/>
  <c r="H66" i="1" s="1"/>
  <c r="B65" i="1"/>
  <c r="B64" i="1"/>
  <c r="B63" i="1"/>
  <c r="H63" i="1" s="1"/>
  <c r="B62" i="1"/>
  <c r="H62" i="1" s="1"/>
  <c r="B61" i="1"/>
  <c r="B60" i="1"/>
  <c r="B59" i="1"/>
  <c r="H59" i="1" s="1"/>
  <c r="B58" i="1"/>
  <c r="H58" i="1" s="1"/>
  <c r="B57" i="1"/>
  <c r="B56" i="1"/>
  <c r="B55" i="1"/>
  <c r="H55" i="1" s="1"/>
  <c r="B54" i="1"/>
  <c r="H54" i="1" s="1"/>
  <c r="B53" i="1"/>
  <c r="B52" i="1"/>
  <c r="B51" i="1"/>
  <c r="H51" i="1" s="1"/>
  <c r="B50" i="1"/>
  <c r="H50" i="1" s="1"/>
  <c r="B49" i="1"/>
  <c r="B48" i="1"/>
  <c r="B47" i="1"/>
  <c r="H47" i="1" s="1"/>
  <c r="B46" i="1"/>
  <c r="H46" i="1" s="1"/>
  <c r="B45" i="1"/>
  <c r="B44" i="1"/>
  <c r="B43" i="1"/>
  <c r="H43" i="1" s="1"/>
  <c r="B42" i="1"/>
  <c r="H42" i="1" s="1"/>
  <c r="B41" i="1"/>
  <c r="B40" i="1"/>
  <c r="B39" i="1"/>
  <c r="H39" i="1" s="1"/>
  <c r="B38" i="1"/>
  <c r="H38" i="1" s="1"/>
  <c r="B37" i="1"/>
  <c r="H37" i="1" s="1"/>
  <c r="B36" i="1"/>
  <c r="C35" i="1"/>
  <c r="H35" i="1" s="1"/>
  <c r="C34" i="1"/>
  <c r="H34" i="1" s="1"/>
  <c r="C33" i="1"/>
  <c r="C32" i="1"/>
  <c r="C31" i="1"/>
  <c r="H31" i="1" s="1"/>
  <c r="C30" i="1"/>
  <c r="H30" i="1" s="1"/>
  <c r="B29" i="1"/>
  <c r="H29" i="1" s="1"/>
  <c r="C28" i="1"/>
  <c r="C27" i="1"/>
  <c r="H27" i="1" s="1"/>
  <c r="C26" i="1"/>
  <c r="H26" i="1" s="1"/>
  <c r="C25" i="1"/>
  <c r="C24" i="1"/>
  <c r="C23" i="1"/>
  <c r="H23" i="1" s="1"/>
  <c r="C22" i="1"/>
  <c r="H22" i="1" s="1"/>
  <c r="C21" i="1"/>
  <c r="H21" i="1" s="1"/>
  <c r="C20" i="1"/>
  <c r="C19" i="1"/>
  <c r="H19" i="1" s="1"/>
  <c r="C18" i="1"/>
  <c r="H18" i="1" s="1"/>
  <c r="C17" i="1"/>
  <c r="B16" i="1"/>
  <c r="B15" i="1"/>
  <c r="H15" i="1" s="1"/>
  <c r="B14" i="1"/>
  <c r="H14" i="1" s="1"/>
  <c r="B13" i="1"/>
  <c r="H13" i="1" s="1"/>
  <c r="B12" i="1"/>
  <c r="B11" i="1"/>
  <c r="H11" i="1" s="1"/>
  <c r="B10" i="1"/>
  <c r="H10" i="1" s="1"/>
  <c r="B9" i="1"/>
  <c r="B8" i="1"/>
  <c r="B7" i="1"/>
  <c r="H7" i="1" s="1"/>
  <c r="B6" i="1"/>
  <c r="H6" i="1" s="1"/>
  <c r="C84" i="1" l="1"/>
  <c r="B84" i="1"/>
</calcChain>
</file>

<file path=xl/sharedStrings.xml><?xml version="1.0" encoding="utf-8"?>
<sst xmlns="http://schemas.openxmlformats.org/spreadsheetml/2006/main" count="85" uniqueCount="85">
  <si>
    <t>Debit</t>
  </si>
  <si>
    <t>Credit</t>
  </si>
  <si>
    <t>1005 Bank of America Checking</t>
  </si>
  <si>
    <t>1200 Accounts Receivable</t>
  </si>
  <si>
    <t>1305 Payroll Tax Overpayment</t>
  </si>
  <si>
    <t>1499 Undeposited Funds</t>
  </si>
  <si>
    <t>Fidelity Investments - MCL</t>
  </si>
  <si>
    <t>Fidelity Investments - SJP</t>
  </si>
  <si>
    <t>1500 Fixed Assets</t>
  </si>
  <si>
    <t>1505 Fixed Assets:Computer Equipment</t>
  </si>
  <si>
    <t>1507 Fixed Assets:Equipment</t>
  </si>
  <si>
    <t>1515 Fixed Assets:Furniture &amp; Fixtures</t>
  </si>
  <si>
    <t>1520 Fixed Assets:Vehicle</t>
  </si>
  <si>
    <t>1550 Fixed Assets:Accumulated Depreciation</t>
  </si>
  <si>
    <t>2000 Accounts Payable</t>
  </si>
  <si>
    <t>2010 Charge Accounts:MBNA</t>
  </si>
  <si>
    <t>2012 Charge Accounts:Chase</t>
  </si>
  <si>
    <t>2015 Charge Accounts:Capitol One</t>
  </si>
  <si>
    <t>2017 Charge Accounts:Kinko's</t>
  </si>
  <si>
    <t>2100 Payroll Liabilities</t>
  </si>
  <si>
    <t>Payroll Liabilities:S-Corp Health Insurance</t>
  </si>
  <si>
    <t>2150 Accrued SEP Contribution</t>
  </si>
  <si>
    <t>Direct Deposit Payable</t>
  </si>
  <si>
    <t>3000 Opening Bal Equity</t>
  </si>
  <si>
    <t>3005 Common Stock</t>
  </si>
  <si>
    <t>3010 S/H Distribution</t>
  </si>
  <si>
    <t>3110 Retained Earnings</t>
  </si>
  <si>
    <t>4005 Income:Consulting Income</t>
  </si>
  <si>
    <t>4055 Income:Writing Services</t>
  </si>
  <si>
    <t>4080 Income:Coaching</t>
  </si>
  <si>
    <t>Sales</t>
  </si>
  <si>
    <t>Uncategorized Income</t>
  </si>
  <si>
    <t>5010 Advertising</t>
  </si>
  <si>
    <t>5015 Office Expenses:Books</t>
  </si>
  <si>
    <t>5070 Office Expenses:Telephone/Internet</t>
  </si>
  <si>
    <t>5080 Office Expenses:Web Hosting</t>
  </si>
  <si>
    <t>6550 Office Expenses:Office Supplies</t>
  </si>
  <si>
    <t>6551 Office Expenses:Office Supplies:Hardware</t>
  </si>
  <si>
    <t>6552 Office Expenses:Office Supplies:Supplies</t>
  </si>
  <si>
    <t>6553 Office Expenses:Office Supplies:Software</t>
  </si>
  <si>
    <t>6110 Automobile Expense</t>
  </si>
  <si>
    <t>6120 Bank Service Charges</t>
  </si>
  <si>
    <t>6135 Subcontractors</t>
  </si>
  <si>
    <t>6161 Dues and Subscriptions:Registration Fees</t>
  </si>
  <si>
    <t>6162 Dues and Subscriptions:Subscriptions</t>
  </si>
  <si>
    <t>6163 Dues and Subscriptions:Online</t>
  </si>
  <si>
    <t>6164 Dues and Subscriptions:Dues</t>
  </si>
  <si>
    <t>5035 Insurance:Automobile</t>
  </si>
  <si>
    <t>5040 Insurance:Health Insurance</t>
  </si>
  <si>
    <t>6185 Insurance:Liability Insurance</t>
  </si>
  <si>
    <t>6200 Interest Expense</t>
  </si>
  <si>
    <t>6210 Interest Expense:Finance Charge</t>
  </si>
  <si>
    <t>6230 Licenses and Permits</t>
  </si>
  <si>
    <t>6240 Miscellaneous</t>
  </si>
  <si>
    <t>6250 Postage and Delivery</t>
  </si>
  <si>
    <t>6260 Printing and Reproduction</t>
  </si>
  <si>
    <t>6280 Professional Fees:Legal Fees</t>
  </si>
  <si>
    <t>6331 Professional Fees:Bookkeeping</t>
  </si>
  <si>
    <t>6346 Professional Fees:Professional Services:Other</t>
  </si>
  <si>
    <t>6650 Professional Fees:Accounting</t>
  </si>
  <si>
    <t>6290 Rent</t>
  </si>
  <si>
    <t>6320 Repairs:Computer Repairs</t>
  </si>
  <si>
    <t>6350 Travel &amp; Ent</t>
  </si>
  <si>
    <t>6351 Travel &amp; Ent:Air</t>
  </si>
  <si>
    <t>6352 Travel &amp; Ent:Car Rental</t>
  </si>
  <si>
    <t>6355 Travel &amp; Ent:Hotel</t>
  </si>
  <si>
    <t>6356 Travel &amp; Ent:Other</t>
  </si>
  <si>
    <t>6370 Travel &amp; Ent:Meals-Subject to 50% Limit</t>
  </si>
  <si>
    <t>6374 Travel &amp; Ent:Meals - 100% Tax Deduct</t>
  </si>
  <si>
    <t>6380 Travel &amp; Ent:Travel</t>
  </si>
  <si>
    <t>6561 Payroll Expenses:Salaries</t>
  </si>
  <si>
    <t>6562 Payroll Expenses:Fed Tax-SS/Mcare</t>
  </si>
  <si>
    <t>6563 Payroll Expenses:Fed Unemployment</t>
  </si>
  <si>
    <t>6564 Payroll Expenses:NC Unemployment</t>
  </si>
  <si>
    <t>6565 Payroll Expenses:Payroll Processing Fees</t>
  </si>
  <si>
    <t>6630 Professional Development</t>
  </si>
  <si>
    <t>6850 Taxes:Property</t>
  </si>
  <si>
    <t>6860 Taxes:State</t>
  </si>
  <si>
    <t>Automobile</t>
  </si>
  <si>
    <t>8100 Miscellaneous Income</t>
  </si>
  <si>
    <t>TOTAL</t>
  </si>
  <si>
    <t>Friday, Jan 29, 2016 10:15:19 AM PST GMT-5 - Cash Basis</t>
  </si>
  <si>
    <t>Trial Balance</t>
  </si>
  <si>
    <t>As of December 31, 2015</t>
  </si>
  <si>
    <t>QB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</si>
</sst>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€"/>
    <numFmt numFmtId="165" formatCode="&quot;$&quot;* 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wrapText="1"/>
    </xf>
    <xf numFmtId="165" fontId="2" fillId="0" borderId="2" xfId="0" applyNumberFormat="1" applyFont="1" applyBorder="1" applyAlignment="1">
      <alignment horizontal="right" wrapText="1"/>
    </xf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5" sqref="A5"/>
    </sheetView>
  </sheetViews>
  <sheetFormatPr defaultRowHeight="15" x14ac:dyDescent="0.25"/>
  <cols>
    <col min="1" max="1" width="43.85546875" customWidth="1"/>
    <col min="2" max="3" width="10.28515625" customWidth="1"/>
    <col min="7" max="7" width="42.7109375" bestFit="1" customWidth="1"/>
    <col min="8" max="8" width="10.85546875" bestFit="1" customWidth="1"/>
  </cols>
  <sheetData>
    <row r="1" spans="1:8" ht="18" x14ac:dyDescent="0.25">
      <c r="A1" s="13" t="s">
        <v>84</v>
      </c>
      <c r="B1" s="12"/>
      <c r="C1" s="12"/>
    </row>
    <row r="2" spans="1:8" ht="18" x14ac:dyDescent="0.25">
      <c r="A2" s="13" t="s">
        <v>82</v>
      </c>
      <c r="B2" s="12"/>
      <c r="C2" s="12"/>
    </row>
    <row r="3" spans="1:8" x14ac:dyDescent="0.25">
      <c r="A3" s="14" t="s">
        <v>83</v>
      </c>
      <c r="B3" s="12"/>
      <c r="C3" s="12"/>
    </row>
    <row r="5" spans="1:8" x14ac:dyDescent="0.25">
      <c r="A5" s="1"/>
      <c r="B5" s="2" t="s">
        <v>0</v>
      </c>
      <c r="C5" s="2" t="s">
        <v>1</v>
      </c>
    </row>
    <row r="6" spans="1:8" x14ac:dyDescent="0.25">
      <c r="A6" s="3" t="s">
        <v>2</v>
      </c>
      <c r="B6" s="4">
        <f>89601.96</f>
        <v>89601.96</v>
      </c>
      <c r="C6" s="5"/>
      <c r="F6" s="7" t="str">
        <f>LEFT(A6,4)</f>
        <v>1005</v>
      </c>
      <c r="G6" s="7" t="str">
        <f t="shared" ref="G6:G70" si="0">RIGHT(A6, LEN(A6)-5)</f>
        <v>Bank of America Checking</v>
      </c>
      <c r="H6" s="8">
        <f>B6-C6</f>
        <v>89601.96</v>
      </c>
    </row>
    <row r="7" spans="1:8" x14ac:dyDescent="0.25">
      <c r="A7" s="3" t="s">
        <v>3</v>
      </c>
      <c r="B7" s="4">
        <f>0</f>
        <v>0</v>
      </c>
      <c r="C7" s="5"/>
      <c r="F7" s="7" t="str">
        <f t="shared" ref="F7:F70" si="1">LEFT(A7,4)</f>
        <v>1200</v>
      </c>
      <c r="G7" s="7" t="str">
        <f t="shared" si="0"/>
        <v>Accounts Receivable</v>
      </c>
      <c r="H7" s="8">
        <f t="shared" ref="H7:H70" si="2">B7-C7</f>
        <v>0</v>
      </c>
    </row>
    <row r="8" spans="1:8" x14ac:dyDescent="0.25">
      <c r="A8" s="3" t="s">
        <v>4</v>
      </c>
      <c r="B8" s="4">
        <f>0</f>
        <v>0</v>
      </c>
      <c r="C8" s="5"/>
      <c r="F8" s="7" t="str">
        <f t="shared" si="1"/>
        <v>1305</v>
      </c>
      <c r="G8" s="7" t="str">
        <f t="shared" si="0"/>
        <v>Payroll Tax Overpayment</v>
      </c>
      <c r="H8" s="8">
        <f t="shared" si="2"/>
        <v>0</v>
      </c>
    </row>
    <row r="9" spans="1:8" x14ac:dyDescent="0.25">
      <c r="A9" s="3" t="s">
        <v>5</v>
      </c>
      <c r="B9" s="4">
        <f>0</f>
        <v>0</v>
      </c>
      <c r="C9" s="5"/>
      <c r="F9" s="7" t="str">
        <f t="shared" si="1"/>
        <v>1499</v>
      </c>
      <c r="G9" s="7" t="str">
        <f t="shared" si="0"/>
        <v>Undeposited Funds</v>
      </c>
      <c r="H9" s="8">
        <f t="shared" si="2"/>
        <v>0</v>
      </c>
    </row>
    <row r="10" spans="1:8" x14ac:dyDescent="0.25">
      <c r="A10" s="3" t="s">
        <v>6</v>
      </c>
      <c r="B10" s="4">
        <f>0</f>
        <v>0</v>
      </c>
      <c r="C10" s="5"/>
      <c r="F10" s="9" t="str">
        <f t="shared" si="1"/>
        <v>Fide</v>
      </c>
      <c r="G10" s="9" t="str">
        <f t="shared" si="0"/>
        <v>ity Investments - MCL</v>
      </c>
      <c r="H10" s="10">
        <f t="shared" si="2"/>
        <v>0</v>
      </c>
    </row>
    <row r="11" spans="1:8" x14ac:dyDescent="0.25">
      <c r="A11" s="3" t="s">
        <v>7</v>
      </c>
      <c r="B11" s="4">
        <f>0</f>
        <v>0</v>
      </c>
      <c r="C11" s="5"/>
      <c r="F11" s="9" t="str">
        <f t="shared" si="1"/>
        <v>Fide</v>
      </c>
      <c r="G11" s="9" t="str">
        <f t="shared" si="0"/>
        <v>ity Investments - SJP</v>
      </c>
      <c r="H11" s="10">
        <f t="shared" si="2"/>
        <v>0</v>
      </c>
    </row>
    <row r="12" spans="1:8" x14ac:dyDescent="0.25">
      <c r="A12" s="3" t="s">
        <v>8</v>
      </c>
      <c r="B12" s="4">
        <f>0</f>
        <v>0</v>
      </c>
      <c r="C12" s="5"/>
      <c r="F12" s="7" t="str">
        <f t="shared" si="1"/>
        <v>1500</v>
      </c>
      <c r="G12" s="7" t="str">
        <f t="shared" si="0"/>
        <v>Fixed Assets</v>
      </c>
      <c r="H12" s="8">
        <f t="shared" si="2"/>
        <v>0</v>
      </c>
    </row>
    <row r="13" spans="1:8" x14ac:dyDescent="0.25">
      <c r="A13" s="3" t="s">
        <v>9</v>
      </c>
      <c r="B13" s="4">
        <f>15818.19</f>
        <v>15818.19</v>
      </c>
      <c r="C13" s="5"/>
      <c r="F13" s="7" t="str">
        <f t="shared" si="1"/>
        <v>1505</v>
      </c>
      <c r="G13" s="7" t="str">
        <f t="shared" si="0"/>
        <v>Fixed Assets:Computer Equipment</v>
      </c>
      <c r="H13" s="8">
        <f t="shared" si="2"/>
        <v>15818.19</v>
      </c>
    </row>
    <row r="14" spans="1:8" x14ac:dyDescent="0.25">
      <c r="A14" s="3" t="s">
        <v>10</v>
      </c>
      <c r="B14" s="4">
        <f>2423.51</f>
        <v>2423.5100000000002</v>
      </c>
      <c r="C14" s="5"/>
      <c r="F14" s="7" t="str">
        <f t="shared" si="1"/>
        <v>1507</v>
      </c>
      <c r="G14" s="7" t="str">
        <f t="shared" si="0"/>
        <v>Fixed Assets:Equipment</v>
      </c>
      <c r="H14" s="8">
        <f t="shared" si="2"/>
        <v>2423.5100000000002</v>
      </c>
    </row>
    <row r="15" spans="1:8" x14ac:dyDescent="0.25">
      <c r="A15" s="3" t="s">
        <v>11</v>
      </c>
      <c r="B15" s="4">
        <f>0</f>
        <v>0</v>
      </c>
      <c r="C15" s="5"/>
      <c r="F15" s="7" t="str">
        <f t="shared" si="1"/>
        <v>1515</v>
      </c>
      <c r="G15" s="7" t="str">
        <f t="shared" si="0"/>
        <v>Fixed Assets:Furniture &amp; Fixtures</v>
      </c>
      <c r="H15" s="8">
        <f t="shared" si="2"/>
        <v>0</v>
      </c>
    </row>
    <row r="16" spans="1:8" x14ac:dyDescent="0.25">
      <c r="A16" s="3" t="s">
        <v>12</v>
      </c>
      <c r="B16" s="4">
        <f>16980</f>
        <v>16980</v>
      </c>
      <c r="C16" s="5"/>
      <c r="F16" s="7" t="str">
        <f t="shared" si="1"/>
        <v>1520</v>
      </c>
      <c r="G16" s="7" t="str">
        <f t="shared" si="0"/>
        <v>Fixed Assets:Vehicle</v>
      </c>
      <c r="H16" s="8">
        <f t="shared" si="2"/>
        <v>16980</v>
      </c>
    </row>
    <row r="17" spans="1:8" x14ac:dyDescent="0.25">
      <c r="A17" s="3" t="s">
        <v>13</v>
      </c>
      <c r="B17" s="5"/>
      <c r="C17" s="4">
        <f>33983.51</f>
        <v>33983.51</v>
      </c>
      <c r="F17" s="7" t="str">
        <f t="shared" si="1"/>
        <v>1550</v>
      </c>
      <c r="G17" s="7" t="str">
        <f t="shared" si="0"/>
        <v>Fixed Assets:Accumulated Depreciation</v>
      </c>
      <c r="H17" s="8">
        <f t="shared" si="2"/>
        <v>-33983.51</v>
      </c>
    </row>
    <row r="18" spans="1:8" x14ac:dyDescent="0.25">
      <c r="A18" s="3" t="s">
        <v>14</v>
      </c>
      <c r="B18" s="5"/>
      <c r="C18" s="4">
        <f>0</f>
        <v>0</v>
      </c>
      <c r="F18" s="7" t="str">
        <f t="shared" si="1"/>
        <v>2000</v>
      </c>
      <c r="G18" s="7" t="str">
        <f t="shared" si="0"/>
        <v>Accounts Payable</v>
      </c>
      <c r="H18" s="8">
        <f t="shared" si="2"/>
        <v>0</v>
      </c>
    </row>
    <row r="19" spans="1:8" x14ac:dyDescent="0.25">
      <c r="A19" s="3" t="s">
        <v>15</v>
      </c>
      <c r="B19" s="5"/>
      <c r="C19" s="4">
        <f>0</f>
        <v>0</v>
      </c>
      <c r="F19" s="7" t="str">
        <f t="shared" si="1"/>
        <v>2010</v>
      </c>
      <c r="G19" s="7" t="str">
        <f t="shared" si="0"/>
        <v>Charge Accounts:MBNA</v>
      </c>
      <c r="H19" s="8">
        <f t="shared" si="2"/>
        <v>0</v>
      </c>
    </row>
    <row r="20" spans="1:8" x14ac:dyDescent="0.25">
      <c r="A20" s="3" t="s">
        <v>16</v>
      </c>
      <c r="B20" s="5"/>
      <c r="C20" s="4">
        <f>0</f>
        <v>0</v>
      </c>
      <c r="F20" s="7" t="str">
        <f t="shared" si="1"/>
        <v>2012</v>
      </c>
      <c r="G20" s="7" t="str">
        <f t="shared" si="0"/>
        <v>Charge Accounts:Chase</v>
      </c>
      <c r="H20" s="8">
        <f t="shared" si="2"/>
        <v>0</v>
      </c>
    </row>
    <row r="21" spans="1:8" x14ac:dyDescent="0.25">
      <c r="A21" s="3" t="s">
        <v>17</v>
      </c>
      <c r="B21" s="5"/>
      <c r="C21" s="4">
        <f>3721.48</f>
        <v>3721.48</v>
      </c>
      <c r="F21" s="7" t="str">
        <f t="shared" si="1"/>
        <v>2015</v>
      </c>
      <c r="G21" s="7" t="str">
        <f t="shared" si="0"/>
        <v>Charge Accounts:Capitol One</v>
      </c>
      <c r="H21" s="8">
        <f t="shared" si="2"/>
        <v>-3721.48</v>
      </c>
    </row>
    <row r="22" spans="1:8" x14ac:dyDescent="0.25">
      <c r="A22" s="3" t="s">
        <v>18</v>
      </c>
      <c r="B22" s="5"/>
      <c r="C22" s="4">
        <f>0</f>
        <v>0</v>
      </c>
      <c r="F22" s="7" t="str">
        <f t="shared" si="1"/>
        <v>2017</v>
      </c>
      <c r="G22" s="7" t="str">
        <f t="shared" si="0"/>
        <v>Charge Accounts:Kinko's</v>
      </c>
      <c r="H22" s="8">
        <f t="shared" si="2"/>
        <v>0</v>
      </c>
    </row>
    <row r="23" spans="1:8" x14ac:dyDescent="0.25">
      <c r="A23" s="3" t="s">
        <v>19</v>
      </c>
      <c r="B23" s="5"/>
      <c r="C23" s="4">
        <f>3969.26</f>
        <v>3969.26</v>
      </c>
      <c r="F23" s="7" t="str">
        <f t="shared" si="1"/>
        <v>2100</v>
      </c>
      <c r="G23" s="7" t="str">
        <f t="shared" si="0"/>
        <v>Payroll Liabilities</v>
      </c>
      <c r="H23" s="8">
        <f t="shared" si="2"/>
        <v>-3969.26</v>
      </c>
    </row>
    <row r="24" spans="1:8" x14ac:dyDescent="0.25">
      <c r="A24" s="3" t="s">
        <v>20</v>
      </c>
      <c r="B24" s="5"/>
      <c r="C24" s="4">
        <f>0</f>
        <v>0</v>
      </c>
      <c r="F24" s="9" t="str">
        <f t="shared" si="1"/>
        <v>Payr</v>
      </c>
      <c r="G24" s="9" t="str">
        <f t="shared" si="0"/>
        <v>ll Liabilities:S-Corp Health Insurance</v>
      </c>
      <c r="H24" s="10">
        <f t="shared" si="2"/>
        <v>0</v>
      </c>
    </row>
    <row r="25" spans="1:8" x14ac:dyDescent="0.25">
      <c r="A25" s="3" t="s">
        <v>21</v>
      </c>
      <c r="B25" s="5"/>
      <c r="C25" s="4">
        <f>0</f>
        <v>0</v>
      </c>
      <c r="F25" s="7" t="str">
        <f t="shared" si="1"/>
        <v>2150</v>
      </c>
      <c r="G25" s="7" t="str">
        <f t="shared" si="0"/>
        <v>Accrued SEP Contribution</v>
      </c>
      <c r="H25" s="8">
        <f t="shared" si="2"/>
        <v>0</v>
      </c>
    </row>
    <row r="26" spans="1:8" x14ac:dyDescent="0.25">
      <c r="A26" s="3" t="s">
        <v>22</v>
      </c>
      <c r="B26" s="5"/>
      <c r="C26" s="4">
        <f>0</f>
        <v>0</v>
      </c>
      <c r="F26" s="9" t="str">
        <f t="shared" si="1"/>
        <v>Dire</v>
      </c>
      <c r="G26" s="9" t="str">
        <f t="shared" si="0"/>
        <v>t Deposit Payable</v>
      </c>
      <c r="H26" s="10">
        <f t="shared" si="2"/>
        <v>0</v>
      </c>
    </row>
    <row r="27" spans="1:8" x14ac:dyDescent="0.25">
      <c r="A27" s="3" t="s">
        <v>23</v>
      </c>
      <c r="B27" s="5"/>
      <c r="C27" s="4">
        <f>0</f>
        <v>0</v>
      </c>
      <c r="F27" s="7" t="str">
        <f t="shared" si="1"/>
        <v>3000</v>
      </c>
      <c r="G27" s="7" t="str">
        <f t="shared" si="0"/>
        <v>Opening Bal Equity</v>
      </c>
      <c r="H27" s="8">
        <f t="shared" si="2"/>
        <v>0</v>
      </c>
    </row>
    <row r="28" spans="1:8" x14ac:dyDescent="0.25">
      <c r="A28" s="3" t="s">
        <v>24</v>
      </c>
      <c r="B28" s="5"/>
      <c r="C28" s="4">
        <f>500</f>
        <v>500</v>
      </c>
      <c r="F28" s="7" t="str">
        <f t="shared" si="1"/>
        <v>3005</v>
      </c>
      <c r="G28" s="7" t="str">
        <f t="shared" si="0"/>
        <v>Common Stock</v>
      </c>
      <c r="H28" s="8">
        <f t="shared" si="2"/>
        <v>-500</v>
      </c>
    </row>
    <row r="29" spans="1:8" x14ac:dyDescent="0.25">
      <c r="A29" s="3" t="s">
        <v>25</v>
      </c>
      <c r="B29" s="4">
        <f>30</f>
        <v>30</v>
      </c>
      <c r="C29" s="5"/>
      <c r="F29" s="7" t="str">
        <f t="shared" si="1"/>
        <v>3010</v>
      </c>
      <c r="G29" s="7" t="str">
        <f t="shared" si="0"/>
        <v>S/H Distribution</v>
      </c>
      <c r="H29" s="8">
        <f t="shared" si="2"/>
        <v>30</v>
      </c>
    </row>
    <row r="30" spans="1:8" x14ac:dyDescent="0.25">
      <c r="A30" s="3" t="s">
        <v>26</v>
      </c>
      <c r="B30" s="5"/>
      <c r="C30" s="4">
        <f>94279.43</f>
        <v>94279.43</v>
      </c>
      <c r="F30" s="7" t="str">
        <f t="shared" si="1"/>
        <v>3110</v>
      </c>
      <c r="G30" s="7" t="str">
        <f t="shared" si="0"/>
        <v>Retained Earnings</v>
      </c>
      <c r="H30" s="8">
        <f t="shared" si="2"/>
        <v>-94279.43</v>
      </c>
    </row>
    <row r="31" spans="1:8" x14ac:dyDescent="0.25">
      <c r="A31" s="3" t="s">
        <v>27</v>
      </c>
      <c r="B31" s="5"/>
      <c r="C31" s="4">
        <f>17250</f>
        <v>17250</v>
      </c>
      <c r="F31" s="7" t="str">
        <f t="shared" si="1"/>
        <v>4005</v>
      </c>
      <c r="G31" s="7" t="str">
        <f t="shared" si="0"/>
        <v>Income:Consulting Income</v>
      </c>
      <c r="H31" s="8">
        <f t="shared" si="2"/>
        <v>-17250</v>
      </c>
    </row>
    <row r="32" spans="1:8" x14ac:dyDescent="0.25">
      <c r="A32" s="3" t="s">
        <v>28</v>
      </c>
      <c r="B32" s="5"/>
      <c r="C32" s="4">
        <f>243673.99</f>
        <v>243673.99</v>
      </c>
      <c r="F32" s="7" t="str">
        <f t="shared" si="1"/>
        <v>4055</v>
      </c>
      <c r="G32" s="7" t="str">
        <f t="shared" si="0"/>
        <v>Income:Writing Services</v>
      </c>
      <c r="H32" s="8">
        <f t="shared" si="2"/>
        <v>-243673.99</v>
      </c>
    </row>
    <row r="33" spans="1:8" x14ac:dyDescent="0.25">
      <c r="A33" s="3" t="s">
        <v>29</v>
      </c>
      <c r="B33" s="5"/>
      <c r="C33" s="4">
        <f>612.5</f>
        <v>612.5</v>
      </c>
      <c r="F33" s="7" t="str">
        <f t="shared" si="1"/>
        <v>4080</v>
      </c>
      <c r="G33" s="7" t="str">
        <f t="shared" si="0"/>
        <v>Income:Coaching</v>
      </c>
      <c r="H33" s="8">
        <f t="shared" si="2"/>
        <v>-612.5</v>
      </c>
    </row>
    <row r="34" spans="1:8" x14ac:dyDescent="0.25">
      <c r="A34" s="3" t="s">
        <v>30</v>
      </c>
      <c r="B34" s="5"/>
      <c r="C34" s="4">
        <f>0</f>
        <v>0</v>
      </c>
      <c r="F34" s="9" t="str">
        <f t="shared" si="1"/>
        <v>Sale</v>
      </c>
      <c r="G34" s="9" t="str">
        <f t="shared" si="0"/>
        <v/>
      </c>
      <c r="H34" s="10">
        <f t="shared" si="2"/>
        <v>0</v>
      </c>
    </row>
    <row r="35" spans="1:8" x14ac:dyDescent="0.25">
      <c r="A35" s="3" t="s">
        <v>31</v>
      </c>
      <c r="B35" s="5"/>
      <c r="C35" s="4">
        <f>0</f>
        <v>0</v>
      </c>
      <c r="F35" s="9" t="str">
        <f t="shared" si="1"/>
        <v>Unca</v>
      </c>
      <c r="G35" s="9" t="str">
        <f t="shared" si="0"/>
        <v>egorized Income</v>
      </c>
      <c r="H35" s="10">
        <f t="shared" si="2"/>
        <v>0</v>
      </c>
    </row>
    <row r="36" spans="1:8" x14ac:dyDescent="0.25">
      <c r="A36" s="3" t="s">
        <v>32</v>
      </c>
      <c r="B36" s="4">
        <f>808.75</f>
        <v>808.75</v>
      </c>
      <c r="C36" s="5"/>
      <c r="F36" s="7" t="str">
        <f t="shared" si="1"/>
        <v>5010</v>
      </c>
      <c r="G36" s="7" t="str">
        <f t="shared" si="0"/>
        <v>Advertising</v>
      </c>
      <c r="H36" s="8">
        <f t="shared" si="2"/>
        <v>808.75</v>
      </c>
    </row>
    <row r="37" spans="1:8" x14ac:dyDescent="0.25">
      <c r="A37" s="3" t="s">
        <v>33</v>
      </c>
      <c r="B37" s="4">
        <f>1468.85</f>
        <v>1468.85</v>
      </c>
      <c r="C37" s="5"/>
      <c r="F37" s="7" t="str">
        <f t="shared" si="1"/>
        <v>5015</v>
      </c>
      <c r="G37" s="7" t="str">
        <f t="shared" si="0"/>
        <v>Office Expenses:Books</v>
      </c>
      <c r="H37" s="8">
        <f t="shared" si="2"/>
        <v>1468.85</v>
      </c>
    </row>
    <row r="38" spans="1:8" x14ac:dyDescent="0.25">
      <c r="A38" s="3" t="s">
        <v>34</v>
      </c>
      <c r="B38" s="4">
        <f>6092.73</f>
        <v>6092.73</v>
      </c>
      <c r="C38" s="5"/>
      <c r="F38" s="7" t="str">
        <f t="shared" si="1"/>
        <v>5070</v>
      </c>
      <c r="G38" s="7" t="str">
        <f t="shared" si="0"/>
        <v>Office Expenses:Telephone/Internet</v>
      </c>
      <c r="H38" s="8">
        <f t="shared" si="2"/>
        <v>6092.73</v>
      </c>
    </row>
    <row r="39" spans="1:8" x14ac:dyDescent="0.25">
      <c r="A39" s="3" t="s">
        <v>35</v>
      </c>
      <c r="B39" s="4">
        <f>900</f>
        <v>900</v>
      </c>
      <c r="C39" s="5"/>
      <c r="F39" s="7" t="str">
        <f t="shared" si="1"/>
        <v>5080</v>
      </c>
      <c r="G39" s="7" t="str">
        <f t="shared" si="0"/>
        <v>Office Expenses:Web Hosting</v>
      </c>
      <c r="H39" s="8">
        <f t="shared" si="2"/>
        <v>900</v>
      </c>
    </row>
    <row r="40" spans="1:8" x14ac:dyDescent="0.25">
      <c r="A40" s="3" t="s">
        <v>36</v>
      </c>
      <c r="B40" s="4">
        <f>145.59</f>
        <v>145.59</v>
      </c>
      <c r="C40" s="5"/>
      <c r="F40" s="7" t="str">
        <f t="shared" si="1"/>
        <v>6550</v>
      </c>
      <c r="G40" s="7" t="str">
        <f t="shared" si="0"/>
        <v>Office Expenses:Office Supplies</v>
      </c>
      <c r="H40" s="8">
        <f t="shared" si="2"/>
        <v>145.59</v>
      </c>
    </row>
    <row r="41" spans="1:8" x14ac:dyDescent="0.25">
      <c r="A41" s="3" t="s">
        <v>37</v>
      </c>
      <c r="B41" s="4">
        <f>2417.78</f>
        <v>2417.7800000000002</v>
      </c>
      <c r="C41" s="5"/>
      <c r="F41" s="7" t="str">
        <f t="shared" si="1"/>
        <v>6551</v>
      </c>
      <c r="G41" s="7" t="str">
        <f t="shared" si="0"/>
        <v>Office Expenses:Office Supplies:Hardware</v>
      </c>
      <c r="H41" s="8">
        <f t="shared" si="2"/>
        <v>2417.7800000000002</v>
      </c>
    </row>
    <row r="42" spans="1:8" x14ac:dyDescent="0.25">
      <c r="A42" s="3" t="s">
        <v>38</v>
      </c>
      <c r="B42" s="4">
        <f>1587.9</f>
        <v>1587.9</v>
      </c>
      <c r="C42" s="5"/>
      <c r="F42" s="7" t="str">
        <f t="shared" si="1"/>
        <v>6552</v>
      </c>
      <c r="G42" s="7" t="str">
        <f t="shared" si="0"/>
        <v>Office Expenses:Office Supplies:Supplies</v>
      </c>
      <c r="H42" s="8">
        <f t="shared" si="2"/>
        <v>1587.9</v>
      </c>
    </row>
    <row r="43" spans="1:8" x14ac:dyDescent="0.25">
      <c r="A43" s="3" t="s">
        <v>39</v>
      </c>
      <c r="B43" s="4">
        <f>976.68</f>
        <v>976.68</v>
      </c>
      <c r="C43" s="5"/>
      <c r="F43" s="7" t="str">
        <f t="shared" si="1"/>
        <v>6553</v>
      </c>
      <c r="G43" s="7" t="str">
        <f t="shared" si="0"/>
        <v>Office Expenses:Office Supplies:Software</v>
      </c>
      <c r="H43" s="8">
        <f t="shared" si="2"/>
        <v>976.68</v>
      </c>
    </row>
    <row r="44" spans="1:8" x14ac:dyDescent="0.25">
      <c r="A44" s="3" t="s">
        <v>40</v>
      </c>
      <c r="B44" s="4">
        <f>99.74</f>
        <v>99.74</v>
      </c>
      <c r="C44" s="5"/>
      <c r="F44" s="7" t="str">
        <f t="shared" si="1"/>
        <v>6110</v>
      </c>
      <c r="G44" s="7" t="str">
        <f t="shared" si="0"/>
        <v>Automobile Expense</v>
      </c>
      <c r="H44" s="8">
        <f t="shared" si="2"/>
        <v>99.74</v>
      </c>
    </row>
    <row r="45" spans="1:8" x14ac:dyDescent="0.25">
      <c r="A45" s="3" t="s">
        <v>41</v>
      </c>
      <c r="B45" s="4">
        <f>78</f>
        <v>78</v>
      </c>
      <c r="C45" s="5"/>
      <c r="F45" s="7" t="str">
        <f t="shared" si="1"/>
        <v>6120</v>
      </c>
      <c r="G45" s="7" t="str">
        <f t="shared" si="0"/>
        <v>Bank Service Charges</v>
      </c>
      <c r="H45" s="8">
        <f t="shared" si="2"/>
        <v>78</v>
      </c>
    </row>
    <row r="46" spans="1:8" x14ac:dyDescent="0.25">
      <c r="A46" s="3" t="s">
        <v>42</v>
      </c>
      <c r="B46" s="4">
        <f>42806</f>
        <v>42806</v>
      </c>
      <c r="C46" s="5"/>
      <c r="F46" s="7" t="str">
        <f t="shared" si="1"/>
        <v>6135</v>
      </c>
      <c r="G46" s="7" t="str">
        <f t="shared" si="0"/>
        <v>Subcontractors</v>
      </c>
      <c r="H46" s="8">
        <f t="shared" si="2"/>
        <v>42806</v>
      </c>
    </row>
    <row r="47" spans="1:8" x14ac:dyDescent="0.25">
      <c r="A47" s="3" t="s">
        <v>43</v>
      </c>
      <c r="B47" s="4">
        <f>190</f>
        <v>190</v>
      </c>
      <c r="C47" s="5"/>
      <c r="F47" s="7" t="str">
        <f t="shared" si="1"/>
        <v>6161</v>
      </c>
      <c r="G47" s="7" t="str">
        <f t="shared" si="0"/>
        <v>Dues and Subscriptions:Registration Fees</v>
      </c>
      <c r="H47" s="8">
        <f t="shared" si="2"/>
        <v>190</v>
      </c>
    </row>
    <row r="48" spans="1:8" x14ac:dyDescent="0.25">
      <c r="A48" s="3" t="s">
        <v>44</v>
      </c>
      <c r="B48" s="4">
        <f>1725.4</f>
        <v>1725.4</v>
      </c>
      <c r="C48" s="5"/>
      <c r="F48" s="7" t="str">
        <f t="shared" si="1"/>
        <v>6162</v>
      </c>
      <c r="G48" s="7" t="str">
        <f t="shared" si="0"/>
        <v>Dues and Subscriptions:Subscriptions</v>
      </c>
      <c r="H48" s="8">
        <f t="shared" si="2"/>
        <v>1725.4</v>
      </c>
    </row>
    <row r="49" spans="1:8" x14ac:dyDescent="0.25">
      <c r="A49" s="3" t="s">
        <v>45</v>
      </c>
      <c r="B49" s="4">
        <f>3600.74</f>
        <v>3600.74</v>
      </c>
      <c r="C49" s="5"/>
      <c r="F49" s="7" t="str">
        <f t="shared" si="1"/>
        <v>6163</v>
      </c>
      <c r="G49" s="7" t="str">
        <f t="shared" si="0"/>
        <v>Dues and Subscriptions:Online</v>
      </c>
      <c r="H49" s="8">
        <f t="shared" si="2"/>
        <v>3600.74</v>
      </c>
    </row>
    <row r="50" spans="1:8" x14ac:dyDescent="0.25">
      <c r="A50" s="3" t="s">
        <v>46</v>
      </c>
      <c r="B50" s="4">
        <f>195</f>
        <v>195</v>
      </c>
      <c r="C50" s="5"/>
      <c r="F50" s="7" t="str">
        <f t="shared" si="1"/>
        <v>6164</v>
      </c>
      <c r="G50" s="7" t="str">
        <f t="shared" si="0"/>
        <v>Dues and Subscriptions:Dues</v>
      </c>
      <c r="H50" s="8">
        <f t="shared" si="2"/>
        <v>195</v>
      </c>
    </row>
    <row r="51" spans="1:8" x14ac:dyDescent="0.25">
      <c r="A51" s="3" t="s">
        <v>47</v>
      </c>
      <c r="B51" s="4">
        <f>835.16</f>
        <v>835.16</v>
      </c>
      <c r="C51" s="5"/>
      <c r="F51" s="7" t="str">
        <f t="shared" si="1"/>
        <v>5035</v>
      </c>
      <c r="G51" s="7" t="str">
        <f t="shared" si="0"/>
        <v>Insurance:Automobile</v>
      </c>
      <c r="H51" s="8">
        <f t="shared" si="2"/>
        <v>835.16</v>
      </c>
    </row>
    <row r="52" spans="1:8" x14ac:dyDescent="0.25">
      <c r="A52" s="3" t="s">
        <v>48</v>
      </c>
      <c r="B52" s="4">
        <f>0</f>
        <v>0</v>
      </c>
      <c r="C52" s="5"/>
      <c r="F52" s="7" t="str">
        <f t="shared" si="1"/>
        <v>5040</v>
      </c>
      <c r="G52" s="7" t="str">
        <f t="shared" si="0"/>
        <v>Insurance:Health Insurance</v>
      </c>
      <c r="H52" s="8">
        <f t="shared" si="2"/>
        <v>0</v>
      </c>
    </row>
    <row r="53" spans="1:8" x14ac:dyDescent="0.25">
      <c r="A53" s="3" t="s">
        <v>49</v>
      </c>
      <c r="B53" s="4">
        <f>425</f>
        <v>425</v>
      </c>
      <c r="C53" s="5"/>
      <c r="F53" s="7" t="str">
        <f t="shared" si="1"/>
        <v>6185</v>
      </c>
      <c r="G53" s="7" t="str">
        <f t="shared" si="0"/>
        <v>Insurance:Liability Insurance</v>
      </c>
      <c r="H53" s="8">
        <f t="shared" si="2"/>
        <v>425</v>
      </c>
    </row>
    <row r="54" spans="1:8" x14ac:dyDescent="0.25">
      <c r="A54" s="3" t="s">
        <v>50</v>
      </c>
      <c r="B54" s="4">
        <f>50.73</f>
        <v>50.73</v>
      </c>
      <c r="C54" s="5"/>
      <c r="F54" s="7" t="str">
        <f t="shared" si="1"/>
        <v>6200</v>
      </c>
      <c r="G54" s="7" t="str">
        <f t="shared" si="0"/>
        <v>Interest Expense</v>
      </c>
      <c r="H54" s="8">
        <f t="shared" si="2"/>
        <v>50.73</v>
      </c>
    </row>
    <row r="55" spans="1:8" x14ac:dyDescent="0.25">
      <c r="A55" s="3" t="s">
        <v>51</v>
      </c>
      <c r="B55" s="4">
        <f>0</f>
        <v>0</v>
      </c>
      <c r="C55" s="5"/>
      <c r="F55" s="7" t="str">
        <f t="shared" si="1"/>
        <v>6210</v>
      </c>
      <c r="G55" s="7" t="str">
        <f t="shared" si="0"/>
        <v>Interest Expense:Finance Charge</v>
      </c>
      <c r="H55" s="8">
        <f t="shared" si="2"/>
        <v>0</v>
      </c>
    </row>
    <row r="56" spans="1:8" x14ac:dyDescent="0.25">
      <c r="A56" s="3" t="s">
        <v>52</v>
      </c>
      <c r="B56" s="4">
        <f>170</f>
        <v>170</v>
      </c>
      <c r="C56" s="5"/>
      <c r="F56" s="7" t="str">
        <f t="shared" si="1"/>
        <v>6230</v>
      </c>
      <c r="G56" s="7" t="str">
        <f t="shared" si="0"/>
        <v>Licenses and Permits</v>
      </c>
      <c r="H56" s="8">
        <f t="shared" si="2"/>
        <v>170</v>
      </c>
    </row>
    <row r="57" spans="1:8" x14ac:dyDescent="0.25">
      <c r="A57" s="3" t="s">
        <v>53</v>
      </c>
      <c r="B57" s="4">
        <f>68.48</f>
        <v>68.48</v>
      </c>
      <c r="C57" s="5"/>
      <c r="F57" s="7" t="str">
        <f t="shared" si="1"/>
        <v>6240</v>
      </c>
      <c r="G57" s="7" t="str">
        <f t="shared" si="0"/>
        <v>Miscellaneous</v>
      </c>
      <c r="H57" s="8">
        <f t="shared" si="2"/>
        <v>68.48</v>
      </c>
    </row>
    <row r="58" spans="1:8" x14ac:dyDescent="0.25">
      <c r="A58" s="3" t="s">
        <v>54</v>
      </c>
      <c r="B58" s="4">
        <f>294.45</f>
        <v>294.45</v>
      </c>
      <c r="C58" s="5"/>
      <c r="F58" s="7" t="str">
        <f t="shared" si="1"/>
        <v>6250</v>
      </c>
      <c r="G58" s="7" t="str">
        <f t="shared" si="0"/>
        <v>Postage and Delivery</v>
      </c>
      <c r="H58" s="8">
        <f t="shared" si="2"/>
        <v>294.45</v>
      </c>
    </row>
    <row r="59" spans="1:8" x14ac:dyDescent="0.25">
      <c r="A59" s="3" t="s">
        <v>55</v>
      </c>
      <c r="B59" s="4">
        <f>391.78</f>
        <v>391.78</v>
      </c>
      <c r="C59" s="5"/>
      <c r="F59" s="7" t="str">
        <f t="shared" si="1"/>
        <v>6260</v>
      </c>
      <c r="G59" s="7" t="str">
        <f t="shared" si="0"/>
        <v>Printing and Reproduction</v>
      </c>
      <c r="H59" s="8">
        <f t="shared" si="2"/>
        <v>391.78</v>
      </c>
    </row>
    <row r="60" spans="1:8" x14ac:dyDescent="0.25">
      <c r="A60" s="3" t="s">
        <v>56</v>
      </c>
      <c r="B60" s="4">
        <f>1809.71</f>
        <v>1809.71</v>
      </c>
      <c r="C60" s="5"/>
      <c r="F60" s="7" t="str">
        <f t="shared" si="1"/>
        <v>6280</v>
      </c>
      <c r="G60" s="7" t="str">
        <f t="shared" si="0"/>
        <v>Professional Fees:Legal Fees</v>
      </c>
      <c r="H60" s="8">
        <f t="shared" si="2"/>
        <v>1809.71</v>
      </c>
    </row>
    <row r="61" spans="1:8" x14ac:dyDescent="0.25">
      <c r="A61" s="3" t="s">
        <v>57</v>
      </c>
      <c r="B61" s="4">
        <f>4600</f>
        <v>4600</v>
      </c>
      <c r="C61" s="5"/>
      <c r="F61" s="7" t="str">
        <f t="shared" si="1"/>
        <v>6331</v>
      </c>
      <c r="G61" s="7" t="str">
        <f t="shared" si="0"/>
        <v>Professional Fees:Bookkeeping</v>
      </c>
      <c r="H61" s="8">
        <f t="shared" si="2"/>
        <v>4600</v>
      </c>
    </row>
    <row r="62" spans="1:8" x14ac:dyDescent="0.25">
      <c r="A62" s="3" t="s">
        <v>58</v>
      </c>
      <c r="B62" s="4">
        <f>219</f>
        <v>219</v>
      </c>
      <c r="C62" s="5"/>
      <c r="F62" s="7" t="str">
        <f t="shared" si="1"/>
        <v>6346</v>
      </c>
      <c r="G62" s="7" t="str">
        <f t="shared" si="0"/>
        <v>Professional Fees:Professional Services:Other</v>
      </c>
      <c r="H62" s="8">
        <f t="shared" si="2"/>
        <v>219</v>
      </c>
    </row>
    <row r="63" spans="1:8" x14ac:dyDescent="0.25">
      <c r="A63" s="3" t="s">
        <v>59</v>
      </c>
      <c r="B63" s="4">
        <f>1710</f>
        <v>1710</v>
      </c>
      <c r="C63" s="5"/>
      <c r="F63" s="7" t="str">
        <f t="shared" si="1"/>
        <v>6650</v>
      </c>
      <c r="G63" s="7" t="str">
        <f t="shared" si="0"/>
        <v>Professional Fees:Accounting</v>
      </c>
      <c r="H63" s="8">
        <f t="shared" si="2"/>
        <v>1710</v>
      </c>
    </row>
    <row r="64" spans="1:8" x14ac:dyDescent="0.25">
      <c r="A64" s="3" t="s">
        <v>60</v>
      </c>
      <c r="B64" s="4">
        <f>5320</f>
        <v>5320</v>
      </c>
      <c r="C64" s="5"/>
      <c r="F64" s="7" t="str">
        <f t="shared" si="1"/>
        <v>6290</v>
      </c>
      <c r="G64" s="7" t="str">
        <f t="shared" si="0"/>
        <v>Rent</v>
      </c>
      <c r="H64" s="8">
        <f t="shared" si="2"/>
        <v>5320</v>
      </c>
    </row>
    <row r="65" spans="1:8" x14ac:dyDescent="0.25">
      <c r="A65" s="3" t="s">
        <v>61</v>
      </c>
      <c r="B65" s="4">
        <f>285.09</f>
        <v>285.08999999999997</v>
      </c>
      <c r="C65" s="5"/>
      <c r="F65" s="7" t="str">
        <f t="shared" si="1"/>
        <v>6320</v>
      </c>
      <c r="G65" s="7" t="str">
        <f t="shared" si="0"/>
        <v>Repairs:Computer Repairs</v>
      </c>
      <c r="H65" s="8">
        <f t="shared" si="2"/>
        <v>285.08999999999997</v>
      </c>
    </row>
    <row r="66" spans="1:8" x14ac:dyDescent="0.25">
      <c r="A66" s="3" t="s">
        <v>62</v>
      </c>
      <c r="B66" s="4">
        <f>57.3</f>
        <v>57.3</v>
      </c>
      <c r="C66" s="5"/>
      <c r="F66" s="7" t="str">
        <f t="shared" si="1"/>
        <v>6350</v>
      </c>
      <c r="G66" s="7" t="str">
        <f t="shared" si="0"/>
        <v>Travel &amp; Ent</v>
      </c>
      <c r="H66" s="8">
        <f t="shared" si="2"/>
        <v>57.3</v>
      </c>
    </row>
    <row r="67" spans="1:8" x14ac:dyDescent="0.25">
      <c r="A67" s="3" t="s">
        <v>63</v>
      </c>
      <c r="B67" s="4">
        <f>5042.82</f>
        <v>5042.82</v>
      </c>
      <c r="C67" s="5"/>
      <c r="F67" s="7" t="str">
        <f t="shared" si="1"/>
        <v>6351</v>
      </c>
      <c r="G67" s="7" t="str">
        <f t="shared" si="0"/>
        <v>Travel &amp; Ent:Air</v>
      </c>
      <c r="H67" s="8">
        <f t="shared" si="2"/>
        <v>5042.82</v>
      </c>
    </row>
    <row r="68" spans="1:8" x14ac:dyDescent="0.25">
      <c r="A68" s="3" t="s">
        <v>64</v>
      </c>
      <c r="B68" s="4">
        <f>1351.23</f>
        <v>1351.23</v>
      </c>
      <c r="C68" s="5"/>
      <c r="F68" s="7" t="str">
        <f t="shared" si="1"/>
        <v>6352</v>
      </c>
      <c r="G68" s="7" t="str">
        <f t="shared" si="0"/>
        <v>Travel &amp; Ent:Car Rental</v>
      </c>
      <c r="H68" s="8">
        <f t="shared" si="2"/>
        <v>1351.23</v>
      </c>
    </row>
    <row r="69" spans="1:8" x14ac:dyDescent="0.25">
      <c r="A69" s="3" t="s">
        <v>65</v>
      </c>
      <c r="B69" s="4">
        <f>2072.17</f>
        <v>2072.17</v>
      </c>
      <c r="C69" s="5"/>
      <c r="F69" s="7" t="str">
        <f t="shared" si="1"/>
        <v>6355</v>
      </c>
      <c r="G69" s="7" t="str">
        <f t="shared" si="0"/>
        <v>Travel &amp; Ent:Hotel</v>
      </c>
      <c r="H69" s="8">
        <f t="shared" si="2"/>
        <v>2072.17</v>
      </c>
    </row>
    <row r="70" spans="1:8" x14ac:dyDescent="0.25">
      <c r="A70" s="3" t="s">
        <v>66</v>
      </c>
      <c r="B70" s="4">
        <f>227.93</f>
        <v>227.93</v>
      </c>
      <c r="C70" s="5"/>
      <c r="F70" s="7" t="str">
        <f t="shared" si="1"/>
        <v>6356</v>
      </c>
      <c r="G70" s="7" t="str">
        <f t="shared" si="0"/>
        <v>Travel &amp; Ent:Other</v>
      </c>
      <c r="H70" s="8">
        <f t="shared" si="2"/>
        <v>227.93</v>
      </c>
    </row>
    <row r="71" spans="1:8" x14ac:dyDescent="0.25">
      <c r="A71" s="3" t="s">
        <v>67</v>
      </c>
      <c r="B71" s="4">
        <f>1355.23</f>
        <v>1355.23</v>
      </c>
      <c r="C71" s="5"/>
      <c r="F71" s="7" t="str">
        <f t="shared" ref="F71:F83" si="3">LEFT(A71,4)</f>
        <v>6370</v>
      </c>
      <c r="G71" s="7" t="str">
        <f t="shared" ref="G71:G83" si="4">RIGHT(A71, LEN(A71)-5)</f>
        <v>Travel &amp; Ent:Meals-Subject to 50% Limit</v>
      </c>
      <c r="H71" s="8">
        <f t="shared" ref="H71:H83" si="5">B71-C71</f>
        <v>1355.23</v>
      </c>
    </row>
    <row r="72" spans="1:8" x14ac:dyDescent="0.25">
      <c r="A72" s="3" t="s">
        <v>68</v>
      </c>
      <c r="B72" s="4">
        <f>129.84</f>
        <v>129.84</v>
      </c>
      <c r="C72" s="5"/>
      <c r="F72" s="7" t="str">
        <f t="shared" si="3"/>
        <v>6374</v>
      </c>
      <c r="G72" s="7" t="str">
        <f t="shared" si="4"/>
        <v>Travel &amp; Ent:Meals - 100% Tax Deduct</v>
      </c>
      <c r="H72" s="8">
        <f t="shared" si="5"/>
        <v>129.84</v>
      </c>
    </row>
    <row r="73" spans="1:8" x14ac:dyDescent="0.25">
      <c r="A73" s="3" t="s">
        <v>69</v>
      </c>
      <c r="B73" s="4">
        <f>1575.91</f>
        <v>1575.91</v>
      </c>
      <c r="C73" s="5"/>
      <c r="F73" s="7" t="str">
        <f t="shared" si="3"/>
        <v>6380</v>
      </c>
      <c r="G73" s="7" t="str">
        <f t="shared" si="4"/>
        <v>Travel &amp; Ent:Travel</v>
      </c>
      <c r="H73" s="8">
        <f t="shared" si="5"/>
        <v>1575.91</v>
      </c>
    </row>
    <row r="74" spans="1:8" x14ac:dyDescent="0.25">
      <c r="A74" s="3" t="s">
        <v>70</v>
      </c>
      <c r="B74" s="4">
        <f>168513.26</f>
        <v>168513.26</v>
      </c>
      <c r="C74" s="5"/>
      <c r="F74" s="7" t="str">
        <f t="shared" si="3"/>
        <v>6561</v>
      </c>
      <c r="G74" s="7" t="str">
        <f t="shared" si="4"/>
        <v>Payroll Expenses:Salaries</v>
      </c>
      <c r="H74" s="8">
        <f t="shared" si="5"/>
        <v>168513.26</v>
      </c>
    </row>
    <row r="75" spans="1:8" x14ac:dyDescent="0.25">
      <c r="A75" s="3" t="s">
        <v>71</v>
      </c>
      <c r="B75" s="4">
        <f>11016</f>
        <v>11016</v>
      </c>
      <c r="C75" s="5"/>
      <c r="F75" s="7" t="str">
        <f t="shared" si="3"/>
        <v>6562</v>
      </c>
      <c r="G75" s="7" t="str">
        <f t="shared" si="4"/>
        <v>Payroll Expenses:Fed Tax-SS/Mcare</v>
      </c>
      <c r="H75" s="8">
        <f t="shared" si="5"/>
        <v>11016</v>
      </c>
    </row>
    <row r="76" spans="1:8" x14ac:dyDescent="0.25">
      <c r="A76" s="3" t="s">
        <v>72</v>
      </c>
      <c r="B76" s="4">
        <f>251.25</f>
        <v>251.25</v>
      </c>
      <c r="C76" s="5"/>
      <c r="F76" s="7" t="str">
        <f t="shared" si="3"/>
        <v>6563</v>
      </c>
      <c r="G76" s="7" t="str">
        <f t="shared" si="4"/>
        <v>Payroll Expenses:Fed Unemployment</v>
      </c>
      <c r="H76" s="8">
        <f t="shared" si="5"/>
        <v>251.25</v>
      </c>
    </row>
    <row r="77" spans="1:8" x14ac:dyDescent="0.25">
      <c r="A77" s="3" t="s">
        <v>73</v>
      </c>
      <c r="B77" s="4">
        <f>208.32</f>
        <v>208.32</v>
      </c>
      <c r="C77" s="5"/>
      <c r="F77" s="7" t="str">
        <f t="shared" si="3"/>
        <v>6564</v>
      </c>
      <c r="G77" s="7" t="str">
        <f t="shared" si="4"/>
        <v>Payroll Expenses:NC Unemployment</v>
      </c>
      <c r="H77" s="8">
        <f t="shared" si="5"/>
        <v>208.32</v>
      </c>
    </row>
    <row r="78" spans="1:8" x14ac:dyDescent="0.25">
      <c r="A78" s="3" t="s">
        <v>74</v>
      </c>
      <c r="B78" s="4">
        <f>504</f>
        <v>504</v>
      </c>
      <c r="C78" s="5"/>
      <c r="F78" s="7" t="str">
        <f t="shared" si="3"/>
        <v>6565</v>
      </c>
      <c r="G78" s="7" t="str">
        <f t="shared" si="4"/>
        <v>Payroll Expenses:Payroll Processing Fees</v>
      </c>
      <c r="H78" s="8">
        <f t="shared" si="5"/>
        <v>504</v>
      </c>
    </row>
    <row r="79" spans="1:8" x14ac:dyDescent="0.25">
      <c r="A79" s="3" t="s">
        <v>75</v>
      </c>
      <c r="B79" s="4">
        <f>1875</f>
        <v>1875</v>
      </c>
      <c r="C79" s="5"/>
      <c r="F79" s="7" t="str">
        <f t="shared" si="3"/>
        <v>6630</v>
      </c>
      <c r="G79" s="7" t="str">
        <f t="shared" si="4"/>
        <v>Professional Development</v>
      </c>
      <c r="H79" s="8">
        <f t="shared" si="5"/>
        <v>1875</v>
      </c>
    </row>
    <row r="80" spans="1:8" x14ac:dyDescent="0.25">
      <c r="A80" s="3" t="s">
        <v>76</v>
      </c>
      <c r="B80" s="4">
        <f>98.24</f>
        <v>98.24</v>
      </c>
      <c r="C80" s="5"/>
      <c r="F80" s="7" t="str">
        <f t="shared" si="3"/>
        <v>6850</v>
      </c>
      <c r="G80" s="7" t="str">
        <f t="shared" si="4"/>
        <v>Taxes:Property</v>
      </c>
      <c r="H80" s="8">
        <f t="shared" si="5"/>
        <v>98.24</v>
      </c>
    </row>
    <row r="81" spans="1:8" x14ac:dyDescent="0.25">
      <c r="A81" s="3" t="s">
        <v>77</v>
      </c>
      <c r="B81" s="4">
        <f>167</f>
        <v>167</v>
      </c>
      <c r="C81" s="5"/>
      <c r="F81" s="7" t="str">
        <f t="shared" si="3"/>
        <v>6860</v>
      </c>
      <c r="G81" s="7" t="str">
        <f t="shared" si="4"/>
        <v>Taxes:State</v>
      </c>
      <c r="H81" s="8">
        <f t="shared" si="5"/>
        <v>167</v>
      </c>
    </row>
    <row r="82" spans="1:8" x14ac:dyDescent="0.25">
      <c r="A82" s="3" t="s">
        <v>78</v>
      </c>
      <c r="B82" s="4">
        <f>0</f>
        <v>0</v>
      </c>
      <c r="C82" s="5"/>
      <c r="F82" s="9" t="str">
        <f t="shared" si="3"/>
        <v>Auto</v>
      </c>
      <c r="G82" s="9" t="str">
        <f t="shared" si="4"/>
        <v>obile</v>
      </c>
      <c r="H82" s="10">
        <f t="shared" si="5"/>
        <v>0</v>
      </c>
    </row>
    <row r="83" spans="1:8" x14ac:dyDescent="0.25">
      <c r="A83" s="3" t="s">
        <v>79</v>
      </c>
      <c r="B83" s="5"/>
      <c r="C83" s="4">
        <f>581.55</f>
        <v>581.54999999999995</v>
      </c>
      <c r="F83" s="7" t="str">
        <f t="shared" si="3"/>
        <v>8100</v>
      </c>
      <c r="G83" s="7" t="str">
        <f t="shared" si="4"/>
        <v>Miscellaneous Income</v>
      </c>
      <c r="H83" s="8">
        <f t="shared" si="5"/>
        <v>-581.54999999999995</v>
      </c>
    </row>
    <row r="84" spans="1:8" x14ac:dyDescent="0.25">
      <c r="A84" s="3" t="s">
        <v>80</v>
      </c>
      <c r="B84" s="6">
        <f>(((((((((((((((((((((((((((((((((((((((((((((((((((((((((((((((((((((((((((((B6)+(B7))+(B8))+(B9))+(B10))+(B11))+(B12))+(B13))+(B14))+(B15))+(B16))+(B17))+(B18))+(B19))+(B20))+(B21))+(B22))+(B23))+(B24))+(B25))+(B26))+(B27))+(B28))+(B29))+(B30))+(B31))+(B32))+(B33))+(B34))+(B35))+(B36))+(B37))+(B38))+(B39))+(B40))+(B41))+(B42))+(B43))+(B44))+(B45))+(B46))+(B47))+(B48))+(B49))+(B50))+(B51))+(B52))+(B53))+(B54))+(B55))+(B56))+(B57))+(B58))+(B59))+(B60))+(B61))+(B62))+(B63))+(B64))+(B65))+(B66))+(B67))+(B68))+(B69))+(B70))+(B71))+(B72))+(B73))+(B74))+(B75))+(B76))+(B77))+(B78))+(B79))+(B80))+(B81))+(B82))+(B83)</f>
        <v>398571.72000000003</v>
      </c>
      <c r="C84" s="6">
        <f>(((((((((((((((((((((((((((((((((((((((((((((((((((((((((((((((((((((((((((((C6)+(C7))+(C8))+(C9))+(C10))+(C11))+(C12))+(C13))+(C14))+(C15))+(C16))+(C17))+(C18))+(C19))+(C20))+(C21))+(C22))+(C23))+(C24))+(C25))+(C26))+(C27))+(C28))+(C29))+(C30))+(C31))+(C32))+(C33))+(C34))+(C35))+(C36))+(C37))+(C38))+(C39))+(C40))+(C41))+(C42))+(C43))+(C44))+(C45))+(C46))+(C47))+(C48))+(C49))+(C50))+(C51))+(C52))+(C53))+(C54))+(C55))+(C56))+(C57))+(C58))+(C59))+(C60))+(C61))+(C62))+(C63))+(C64))+(C65))+(C66))+(C67))+(C68))+(C69))+(C70))+(C71))+(C72))+(C73))+(C74))+(C75))+(C76))+(C77))+(C78))+(C79))+(C80))+(C81))+(C82))+(C83)</f>
        <v>398571.72</v>
      </c>
    </row>
    <row r="85" spans="1:8" x14ac:dyDescent="0.25">
      <c r="A85" s="3"/>
      <c r="B85" s="5"/>
      <c r="C85" s="5"/>
    </row>
    <row r="88" spans="1:8" x14ac:dyDescent="0.25">
      <c r="A88" s="11" t="s">
        <v>81</v>
      </c>
      <c r="B88" s="12"/>
      <c r="C88" s="12"/>
    </row>
  </sheetData>
  <mergeCells count="4">
    <mergeCell ref="A88:C88"/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Fulton</cp:lastModifiedBy>
  <dcterms:created xsi:type="dcterms:W3CDTF">2016-01-29T15:15:19Z</dcterms:created>
  <dcterms:modified xsi:type="dcterms:W3CDTF">2016-10-02T23:42:58Z</dcterms:modified>
</cp:coreProperties>
</file>