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28bbdb69b3b4fa/ドキュメント/"/>
    </mc:Choice>
  </mc:AlternateContent>
  <xr:revisionPtr revIDLastSave="16" documentId="8_{6FC95708-9768-4DDF-A1CE-A8CE428BBDD3}" xr6:coauthVersionLast="47" xr6:coauthVersionMax="47" xr10:uidLastSave="{BEDD806F-AA54-4806-9282-EABA74291DDD}"/>
  <bookViews>
    <workbookView xWindow="-108" yWindow="-108" windowWidth="23256" windowHeight="12456" firstSheet="8" activeTab="12" xr2:uid="{56D052C7-941E-479B-A955-AD406088FE66}"/>
  </bookViews>
  <sheets>
    <sheet name="DCF&gt;" sheetId="9" r:id="rId1"/>
    <sheet name="WACC" sheetId="10" r:id="rId2"/>
    <sheet name="Data&gt;" sheetId="3" r:id="rId3"/>
    <sheet name="Beta-Regression" sheetId="12" r:id="rId4"/>
    <sheet name="Beta Comps" sheetId="11" r:id="rId5"/>
    <sheet name="RM" sheetId="13" r:id="rId6"/>
    <sheet name="Intrinsic Growth" sheetId="16" r:id="rId7"/>
    <sheet name="RawFS" sheetId="15" r:id="rId8"/>
    <sheet name="Financials&gt;" sheetId="1" r:id="rId9"/>
    <sheet name="Ratio Analysis" sheetId="6" r:id="rId10"/>
    <sheet name="Forecasting" sheetId="7" r:id="rId11"/>
    <sheet name="Cash Flow Data" sheetId="5" r:id="rId12"/>
    <sheet name="HistoricalFS" sheetId="2" r:id="rId13"/>
    <sheet name="Data Room&gt;" sheetId="14" r:id="rId14"/>
    <sheet name="Data Sheet" sheetId="4" r:id="rId15"/>
  </sheets>
  <definedNames>
    <definedName name="_xlnm._FilterDatabase" localSheetId="3" hidden="1">'Beta-Regression'!$F$10:$F$116</definedName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7" l="1" a="1"/>
  <c r="P4" i="7" s="1"/>
  <c r="K4" i="7" a="1"/>
  <c r="K4" i="7" s="1"/>
  <c r="K7" i="7"/>
  <c r="K11" i="7"/>
  <c r="F4" i="7" a="1"/>
  <c r="F4" i="7" s="1"/>
  <c r="L3" i="2"/>
  <c r="B2" i="2"/>
  <c r="L44" i="16"/>
  <c r="K44" i="16"/>
  <c r="J44" i="16"/>
  <c r="I44" i="16"/>
  <c r="H44" i="16"/>
  <c r="J42" i="16"/>
  <c r="J59" i="16" s="1"/>
  <c r="I33" i="16"/>
  <c r="J33" i="16"/>
  <c r="K33" i="16"/>
  <c r="L33" i="16"/>
  <c r="H33" i="16"/>
  <c r="B33" i="16"/>
  <c r="I29" i="16"/>
  <c r="L31" i="16"/>
  <c r="K31" i="16"/>
  <c r="J31" i="16"/>
  <c r="I31" i="16"/>
  <c r="H31" i="16"/>
  <c r="L30" i="16"/>
  <c r="K30" i="16"/>
  <c r="J30" i="16"/>
  <c r="I30" i="16"/>
  <c r="H30" i="16"/>
  <c r="L29" i="16"/>
  <c r="K29" i="16"/>
  <c r="J29" i="16"/>
  <c r="H29" i="16"/>
  <c r="L28" i="16"/>
  <c r="K28" i="16"/>
  <c r="J28" i="16"/>
  <c r="I28" i="16"/>
  <c r="H28" i="16"/>
  <c r="L27" i="16"/>
  <c r="K27" i="16"/>
  <c r="J27" i="16"/>
  <c r="I27" i="16"/>
  <c r="H27" i="16"/>
  <c r="L26" i="16"/>
  <c r="K26" i="16"/>
  <c r="J26" i="16"/>
  <c r="I26" i="16"/>
  <c r="H26" i="16"/>
  <c r="L25" i="16"/>
  <c r="K25" i="16"/>
  <c r="J25" i="16"/>
  <c r="I25" i="16"/>
  <c r="H25" i="16"/>
  <c r="L24" i="16"/>
  <c r="K24" i="16"/>
  <c r="J24" i="16"/>
  <c r="I24" i="16"/>
  <c r="H24" i="16"/>
  <c r="B25" i="16"/>
  <c r="B26" i="16"/>
  <c r="B27" i="16"/>
  <c r="B28" i="16"/>
  <c r="B29" i="16"/>
  <c r="B30" i="16"/>
  <c r="B31" i="16"/>
  <c r="B24" i="16"/>
  <c r="H17" i="16"/>
  <c r="I17" i="16"/>
  <c r="J17" i="16"/>
  <c r="K17" i="16"/>
  <c r="L17" i="16"/>
  <c r="H18" i="16"/>
  <c r="I18" i="16"/>
  <c r="J18" i="16"/>
  <c r="K18" i="16"/>
  <c r="L18" i="16"/>
  <c r="I16" i="16"/>
  <c r="J16" i="16"/>
  <c r="K16" i="16"/>
  <c r="L16" i="16"/>
  <c r="H16" i="16"/>
  <c r="B17" i="16"/>
  <c r="B18" i="16"/>
  <c r="B16" i="16"/>
  <c r="H12" i="16"/>
  <c r="I12" i="16"/>
  <c r="J12" i="16"/>
  <c r="K12" i="16"/>
  <c r="L12" i="16"/>
  <c r="I11" i="16"/>
  <c r="J11" i="16"/>
  <c r="K11" i="16"/>
  <c r="L11" i="16"/>
  <c r="H11" i="16"/>
  <c r="H10" i="16"/>
  <c r="I10" i="16"/>
  <c r="J10" i="16"/>
  <c r="K10" i="16"/>
  <c r="L10" i="16"/>
  <c r="I9" i="16"/>
  <c r="J9" i="16"/>
  <c r="K9" i="16"/>
  <c r="L9" i="16"/>
  <c r="H9" i="16"/>
  <c r="B10" i="16"/>
  <c r="B11" i="16"/>
  <c r="B12" i="16"/>
  <c r="B9" i="16"/>
  <c r="I6" i="16"/>
  <c r="I42" i="16" s="1"/>
  <c r="I59" i="16" s="1"/>
  <c r="J6" i="16"/>
  <c r="K6" i="16"/>
  <c r="K42" i="16" s="1"/>
  <c r="K59" i="16" s="1"/>
  <c r="L6" i="16"/>
  <c r="L42" i="16" s="1"/>
  <c r="L59" i="16" s="1"/>
  <c r="H6" i="16"/>
  <c r="H42" i="16" s="1"/>
  <c r="H59" i="16" s="1"/>
  <c r="N28" i="15"/>
  <c r="M28" i="15"/>
  <c r="L28" i="15"/>
  <c r="K28" i="15"/>
  <c r="J28" i="15"/>
  <c r="I28" i="15"/>
  <c r="H28" i="15"/>
  <c r="G28" i="15"/>
  <c r="F28" i="15"/>
  <c r="E28" i="15"/>
  <c r="D28" i="15"/>
  <c r="C28" i="15"/>
  <c r="G8" i="13"/>
  <c r="G10" i="13"/>
  <c r="D12" i="12"/>
  <c r="G12" i="12"/>
  <c r="D13" i="12"/>
  <c r="G13" i="12"/>
  <c r="D14" i="12"/>
  <c r="G14" i="12"/>
  <c r="M14" i="12"/>
  <c r="J14" i="10" s="1"/>
  <c r="D15" i="12"/>
  <c r="G15" i="12"/>
  <c r="D16" i="12"/>
  <c r="G16" i="12"/>
  <c r="D17" i="12"/>
  <c r="G17" i="12"/>
  <c r="D18" i="12"/>
  <c r="G18" i="12"/>
  <c r="D19" i="12"/>
  <c r="G19" i="12"/>
  <c r="D20" i="12"/>
  <c r="G20" i="12"/>
  <c r="D21" i="12"/>
  <c r="G21" i="12"/>
  <c r="D22" i="12"/>
  <c r="G22" i="12"/>
  <c r="D23" i="12"/>
  <c r="G23" i="12"/>
  <c r="I23" i="12"/>
  <c r="D24" i="12"/>
  <c r="G24" i="12"/>
  <c r="I24" i="12"/>
  <c r="D25" i="12"/>
  <c r="G25" i="12"/>
  <c r="I25" i="12"/>
  <c r="D26" i="12"/>
  <c r="G26" i="12"/>
  <c r="I26" i="12"/>
  <c r="D27" i="12"/>
  <c r="G27" i="12"/>
  <c r="D28" i="12"/>
  <c r="G28" i="12"/>
  <c r="D29" i="12"/>
  <c r="G29" i="12"/>
  <c r="D30" i="12"/>
  <c r="G30" i="12"/>
  <c r="D31" i="12"/>
  <c r="G31" i="12"/>
  <c r="D32" i="12"/>
  <c r="G32" i="12"/>
  <c r="D33" i="12"/>
  <c r="G33" i="12"/>
  <c r="D34" i="12"/>
  <c r="G34" i="12"/>
  <c r="D35" i="12"/>
  <c r="G35" i="12"/>
  <c r="D36" i="12"/>
  <c r="G36" i="12"/>
  <c r="D37" i="12"/>
  <c r="G37" i="12"/>
  <c r="D38" i="12"/>
  <c r="G38" i="12"/>
  <c r="D39" i="12"/>
  <c r="G39" i="12"/>
  <c r="D40" i="12"/>
  <c r="G40" i="12"/>
  <c r="D41" i="12"/>
  <c r="G41" i="12"/>
  <c r="D42" i="12"/>
  <c r="G42" i="12"/>
  <c r="D43" i="12"/>
  <c r="G43" i="12"/>
  <c r="D44" i="12"/>
  <c r="G44" i="12"/>
  <c r="D45" i="12"/>
  <c r="G45" i="12"/>
  <c r="D46" i="12"/>
  <c r="G46" i="12"/>
  <c r="D47" i="12"/>
  <c r="G47" i="12"/>
  <c r="D48" i="12"/>
  <c r="G48" i="12"/>
  <c r="D49" i="12"/>
  <c r="G49" i="12"/>
  <c r="D50" i="12"/>
  <c r="G50" i="12"/>
  <c r="D51" i="12"/>
  <c r="G51" i="12"/>
  <c r="D52" i="12"/>
  <c r="G52" i="12"/>
  <c r="D53" i="12"/>
  <c r="G53" i="12"/>
  <c r="D54" i="12"/>
  <c r="G54" i="12"/>
  <c r="D55" i="12"/>
  <c r="G55" i="12"/>
  <c r="D56" i="12"/>
  <c r="G56" i="12"/>
  <c r="D57" i="12"/>
  <c r="G57" i="12"/>
  <c r="D58" i="12"/>
  <c r="G58" i="12"/>
  <c r="D59" i="12"/>
  <c r="G59" i="12"/>
  <c r="D60" i="12"/>
  <c r="G60" i="12"/>
  <c r="D61" i="12"/>
  <c r="G61" i="12"/>
  <c r="D62" i="12"/>
  <c r="G62" i="12"/>
  <c r="D63" i="12"/>
  <c r="G63" i="12"/>
  <c r="D64" i="12"/>
  <c r="G64" i="12"/>
  <c r="D65" i="12"/>
  <c r="G65" i="12"/>
  <c r="D66" i="12"/>
  <c r="G66" i="12"/>
  <c r="D67" i="12"/>
  <c r="G67" i="12"/>
  <c r="D68" i="12"/>
  <c r="G68" i="12"/>
  <c r="D69" i="12"/>
  <c r="G69" i="12"/>
  <c r="D70" i="12"/>
  <c r="G70" i="12"/>
  <c r="D71" i="12"/>
  <c r="G71" i="12"/>
  <c r="D72" i="12"/>
  <c r="G72" i="12"/>
  <c r="D73" i="12"/>
  <c r="G73" i="12"/>
  <c r="D74" i="12"/>
  <c r="G74" i="12"/>
  <c r="D75" i="12"/>
  <c r="G75" i="12"/>
  <c r="D76" i="12"/>
  <c r="G76" i="12"/>
  <c r="D77" i="12"/>
  <c r="G77" i="12"/>
  <c r="D78" i="12"/>
  <c r="G78" i="12"/>
  <c r="D79" i="12"/>
  <c r="G79" i="12"/>
  <c r="D80" i="12"/>
  <c r="G80" i="12"/>
  <c r="D81" i="12"/>
  <c r="G81" i="12"/>
  <c r="D82" i="12"/>
  <c r="G82" i="12"/>
  <c r="D83" i="12"/>
  <c r="G83" i="12"/>
  <c r="D84" i="12"/>
  <c r="G84" i="12"/>
  <c r="D85" i="12"/>
  <c r="G85" i="12"/>
  <c r="D86" i="12"/>
  <c r="G86" i="12"/>
  <c r="D87" i="12"/>
  <c r="G87" i="12"/>
  <c r="D88" i="12"/>
  <c r="G88" i="12"/>
  <c r="D89" i="12"/>
  <c r="G89" i="12"/>
  <c r="D90" i="12"/>
  <c r="G90" i="12"/>
  <c r="D91" i="12"/>
  <c r="G91" i="12"/>
  <c r="D92" i="12"/>
  <c r="G92" i="12"/>
  <c r="D93" i="12"/>
  <c r="G93" i="12"/>
  <c r="D94" i="12"/>
  <c r="G94" i="12"/>
  <c r="D95" i="12"/>
  <c r="G95" i="12"/>
  <c r="D96" i="12"/>
  <c r="G96" i="12"/>
  <c r="D97" i="12"/>
  <c r="G97" i="12"/>
  <c r="D98" i="12"/>
  <c r="G98" i="12"/>
  <c r="D99" i="12"/>
  <c r="G99" i="12"/>
  <c r="D100" i="12"/>
  <c r="G100" i="12"/>
  <c r="D101" i="12"/>
  <c r="G101" i="12"/>
  <c r="D102" i="12"/>
  <c r="G102" i="12"/>
  <c r="D103" i="12"/>
  <c r="G103" i="12"/>
  <c r="D104" i="12"/>
  <c r="G104" i="12"/>
  <c r="D105" i="12"/>
  <c r="G105" i="12"/>
  <c r="D106" i="12"/>
  <c r="G106" i="12"/>
  <c r="D107" i="12"/>
  <c r="G107" i="12"/>
  <c r="D108" i="12"/>
  <c r="G108" i="12"/>
  <c r="D109" i="12"/>
  <c r="G109" i="12"/>
  <c r="D110" i="12"/>
  <c r="G110" i="12"/>
  <c r="D111" i="12"/>
  <c r="G111" i="12"/>
  <c r="D112" i="12"/>
  <c r="G112" i="12"/>
  <c r="D113" i="12"/>
  <c r="G113" i="12"/>
  <c r="D114" i="12"/>
  <c r="G114" i="12"/>
  <c r="D115" i="12"/>
  <c r="G115" i="12"/>
  <c r="D116" i="12"/>
  <c r="G116" i="12"/>
  <c r="B14" i="10"/>
  <c r="E14" i="10"/>
  <c r="F14" i="10"/>
  <c r="C36" i="10" s="1"/>
  <c r="B15" i="10"/>
  <c r="E15" i="10"/>
  <c r="F15" i="10"/>
  <c r="J15" i="10"/>
  <c r="B16" i="10"/>
  <c r="E16" i="10"/>
  <c r="F16" i="10"/>
  <c r="J16" i="10"/>
  <c r="B17" i="10"/>
  <c r="E17" i="10"/>
  <c r="F17" i="10"/>
  <c r="J17" i="10"/>
  <c r="B18" i="10"/>
  <c r="E18" i="10"/>
  <c r="F18" i="10"/>
  <c r="H18" i="10"/>
  <c r="K18" i="10" s="1"/>
  <c r="J18" i="10"/>
  <c r="G20" i="10"/>
  <c r="E27" i="10" s="1"/>
  <c r="K36" i="10" s="1"/>
  <c r="G21" i="10"/>
  <c r="E26" i="10"/>
  <c r="E28" i="10" s="1"/>
  <c r="K44" i="10" s="1"/>
  <c r="K27" i="10"/>
  <c r="P11" i="7" l="1"/>
  <c r="P6" i="7"/>
  <c r="P13" i="7"/>
  <c r="P9" i="7"/>
  <c r="P5" i="7"/>
  <c r="P7" i="7"/>
  <c r="P10" i="7"/>
  <c r="P12" i="7"/>
  <c r="P8" i="7"/>
  <c r="K6" i="7"/>
  <c r="K13" i="7"/>
  <c r="K9" i="7"/>
  <c r="K5" i="7"/>
  <c r="K10" i="7"/>
  <c r="K12" i="7"/>
  <c r="K8" i="7"/>
  <c r="F7" i="7"/>
  <c r="F6" i="7"/>
  <c r="F13" i="7"/>
  <c r="F9" i="7"/>
  <c r="F5" i="7"/>
  <c r="F11" i="7"/>
  <c r="F10" i="7"/>
  <c r="F12" i="7"/>
  <c r="F8" i="7"/>
  <c r="M11" i="12"/>
  <c r="I18" i="10"/>
  <c r="H17" i="10"/>
  <c r="K17" i="10" s="1"/>
  <c r="H16" i="10"/>
  <c r="K16" i="10" s="1"/>
  <c r="H15" i="10"/>
  <c r="K15" i="10" s="1"/>
  <c r="J21" i="10"/>
  <c r="M12" i="12"/>
  <c r="J32" i="16"/>
  <c r="J34" i="16" s="1"/>
  <c r="L32" i="16"/>
  <c r="L34" i="16" s="1"/>
  <c r="I32" i="16"/>
  <c r="I34" i="16" s="1"/>
  <c r="K32" i="16"/>
  <c r="K34" i="16" s="1"/>
  <c r="H32" i="16"/>
  <c r="H34" i="16" s="1"/>
  <c r="K19" i="16"/>
  <c r="J13" i="16"/>
  <c r="I19" i="16"/>
  <c r="L19" i="16"/>
  <c r="I13" i="16"/>
  <c r="H19" i="16"/>
  <c r="J19" i="16"/>
  <c r="H13" i="16"/>
  <c r="L13" i="16"/>
  <c r="K13" i="16"/>
  <c r="I15" i="10"/>
  <c r="I14" i="10"/>
  <c r="J10" i="12"/>
  <c r="J16" i="12" s="1"/>
  <c r="H14" i="10"/>
  <c r="J20" i="10"/>
  <c r="I16" i="10"/>
  <c r="I20" i="10" s="1"/>
  <c r="E35" i="10" s="1"/>
  <c r="I17" i="10"/>
  <c r="C35" i="10"/>
  <c r="H21" i="10" l="1"/>
  <c r="H20" i="10"/>
  <c r="K14" i="10"/>
  <c r="J21" i="16"/>
  <c r="K21" i="16"/>
  <c r="L21" i="16"/>
  <c r="I21" i="16"/>
  <c r="H21" i="16"/>
  <c r="H36" i="16" s="1"/>
  <c r="I21" i="10"/>
  <c r="K45" i="10"/>
  <c r="K21" i="10"/>
  <c r="K34" i="10" s="1"/>
  <c r="K20" i="10"/>
  <c r="C37" i="10"/>
  <c r="I36" i="16" l="1"/>
  <c r="I45" i="16"/>
  <c r="I51" i="16" s="1"/>
  <c r="L36" i="16"/>
  <c r="L45" i="16"/>
  <c r="L51" i="16" s="1"/>
  <c r="K36" i="16"/>
  <c r="K45" i="16"/>
  <c r="K51" i="16" s="1"/>
  <c r="J45" i="16"/>
  <c r="J51" i="16" s="1"/>
  <c r="J36" i="16"/>
  <c r="D37" i="10"/>
  <c r="E37" i="10" s="1"/>
  <c r="E36" i="10" s="1"/>
  <c r="D36" i="10"/>
  <c r="D35" i="10"/>
  <c r="N2" i="7"/>
  <c r="N5" i="7"/>
  <c r="N6" i="7" s="1"/>
  <c r="N7" i="7" s="1"/>
  <c r="N8" i="7" s="1"/>
  <c r="N9" i="7" s="1"/>
  <c r="N10" i="7" s="1"/>
  <c r="N11" i="7" s="1"/>
  <c r="N12" i="7" s="1"/>
  <c r="N13" i="7" s="1"/>
  <c r="N14" i="7" s="1"/>
  <c r="O4" i="7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J4" i="7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E4" i="7"/>
  <c r="E5" i="7" s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D2" i="7"/>
  <c r="I2" i="7"/>
  <c r="I5" i="7"/>
  <c r="I6" i="7" s="1"/>
  <c r="I7" i="7" s="1"/>
  <c r="I8" i="7" s="1"/>
  <c r="I9" i="7" s="1"/>
  <c r="I10" i="7" s="1"/>
  <c r="I11" i="7" s="1"/>
  <c r="I12" i="7" s="1"/>
  <c r="I13" i="7" s="1"/>
  <c r="I14" i="7" s="1"/>
  <c r="G5" i="7"/>
  <c r="G10" i="7"/>
  <c r="D5" i="7"/>
  <c r="D6" i="7" s="1"/>
  <c r="D7" i="7" s="1"/>
  <c r="D8" i="7" s="1"/>
  <c r="D9" i="7" s="1"/>
  <c r="D10" i="7" s="1"/>
  <c r="D11" i="7" s="1"/>
  <c r="D12" i="7" s="1"/>
  <c r="D13" i="7" s="1"/>
  <c r="D14" i="7" s="1"/>
  <c r="B2" i="6"/>
  <c r="L3" i="6"/>
  <c r="K3" i="6"/>
  <c r="J3" i="6"/>
  <c r="I3" i="6"/>
  <c r="H3" i="6"/>
  <c r="G3" i="6"/>
  <c r="F3" i="6"/>
  <c r="E3" i="6"/>
  <c r="D3" i="6"/>
  <c r="C3" i="6"/>
  <c r="L102" i="2"/>
  <c r="K102" i="2"/>
  <c r="J102" i="2"/>
  <c r="I102" i="2"/>
  <c r="H102" i="2"/>
  <c r="G102" i="2"/>
  <c r="F102" i="2"/>
  <c r="E102" i="2"/>
  <c r="D102" i="2"/>
  <c r="C102" i="2"/>
  <c r="L101" i="2"/>
  <c r="K101" i="2"/>
  <c r="J101" i="2"/>
  <c r="I101" i="2"/>
  <c r="H101" i="2"/>
  <c r="G101" i="2"/>
  <c r="F101" i="2"/>
  <c r="E101" i="2"/>
  <c r="D101" i="2"/>
  <c r="C101" i="2"/>
  <c r="L100" i="2"/>
  <c r="K100" i="2"/>
  <c r="J100" i="2"/>
  <c r="I100" i="2"/>
  <c r="H100" i="2"/>
  <c r="G100" i="2"/>
  <c r="F100" i="2"/>
  <c r="E100" i="2"/>
  <c r="D100" i="2"/>
  <c r="C100" i="2"/>
  <c r="L99" i="2"/>
  <c r="K99" i="2"/>
  <c r="J99" i="2"/>
  <c r="I99" i="2"/>
  <c r="H99" i="2"/>
  <c r="G99" i="2"/>
  <c r="F99" i="2"/>
  <c r="E99" i="2"/>
  <c r="D99" i="2"/>
  <c r="C99" i="2"/>
  <c r="L98" i="2"/>
  <c r="K98" i="2"/>
  <c r="J98" i="2"/>
  <c r="I98" i="2"/>
  <c r="H98" i="2"/>
  <c r="G98" i="2"/>
  <c r="F98" i="2"/>
  <c r="E98" i="2"/>
  <c r="D98" i="2"/>
  <c r="C98" i="2"/>
  <c r="L97" i="2"/>
  <c r="K97" i="2"/>
  <c r="J97" i="2"/>
  <c r="I97" i="2"/>
  <c r="H97" i="2"/>
  <c r="G97" i="2"/>
  <c r="F97" i="2"/>
  <c r="E97" i="2"/>
  <c r="D97" i="2"/>
  <c r="C97" i="2"/>
  <c r="L96" i="2"/>
  <c r="K96" i="2"/>
  <c r="J96" i="2"/>
  <c r="I96" i="2"/>
  <c r="H96" i="2"/>
  <c r="G96" i="2"/>
  <c r="F96" i="2"/>
  <c r="E96" i="2"/>
  <c r="D96" i="2"/>
  <c r="C96" i="2"/>
  <c r="L95" i="2"/>
  <c r="K95" i="2"/>
  <c r="J95" i="2"/>
  <c r="J103" i="2" s="1"/>
  <c r="I95" i="2"/>
  <c r="I103" i="2" s="1"/>
  <c r="H95" i="2"/>
  <c r="G95" i="2"/>
  <c r="G103" i="2" s="1"/>
  <c r="F95" i="2"/>
  <c r="F103" i="2" s="1"/>
  <c r="E95" i="2"/>
  <c r="E103" i="2" s="1"/>
  <c r="D95" i="2"/>
  <c r="C95" i="2"/>
  <c r="L91" i="2"/>
  <c r="K91" i="2"/>
  <c r="J91" i="2"/>
  <c r="I91" i="2"/>
  <c r="H91" i="2"/>
  <c r="G91" i="2"/>
  <c r="F91" i="2"/>
  <c r="E91" i="2"/>
  <c r="D91" i="2"/>
  <c r="C91" i="2"/>
  <c r="L90" i="2"/>
  <c r="K90" i="2"/>
  <c r="J90" i="2"/>
  <c r="I90" i="2"/>
  <c r="H90" i="2"/>
  <c r="G90" i="2"/>
  <c r="F90" i="2"/>
  <c r="E90" i="2"/>
  <c r="D90" i="2"/>
  <c r="C90" i="2"/>
  <c r="L89" i="2"/>
  <c r="K89" i="2"/>
  <c r="J89" i="2"/>
  <c r="I89" i="2"/>
  <c r="H89" i="2"/>
  <c r="G89" i="2"/>
  <c r="F89" i="2"/>
  <c r="E89" i="2"/>
  <c r="D89" i="2"/>
  <c r="C89" i="2"/>
  <c r="L88" i="2"/>
  <c r="K88" i="2"/>
  <c r="J88" i="2"/>
  <c r="I88" i="2"/>
  <c r="H88" i="2"/>
  <c r="G88" i="2"/>
  <c r="F88" i="2"/>
  <c r="E88" i="2"/>
  <c r="D88" i="2"/>
  <c r="C88" i="2"/>
  <c r="L87" i="2"/>
  <c r="K87" i="2"/>
  <c r="J87" i="2"/>
  <c r="I87" i="2"/>
  <c r="H87" i="2"/>
  <c r="G87" i="2"/>
  <c r="F87" i="2"/>
  <c r="E87" i="2"/>
  <c r="D87" i="2"/>
  <c r="C87" i="2"/>
  <c r="L86" i="2"/>
  <c r="K86" i="2"/>
  <c r="J86" i="2"/>
  <c r="I86" i="2"/>
  <c r="H86" i="2"/>
  <c r="G86" i="2"/>
  <c r="F86" i="2"/>
  <c r="E86" i="2"/>
  <c r="D86" i="2"/>
  <c r="C86" i="2"/>
  <c r="L85" i="2"/>
  <c r="K85" i="2"/>
  <c r="J85" i="2"/>
  <c r="I85" i="2"/>
  <c r="H85" i="2"/>
  <c r="G85" i="2"/>
  <c r="F85" i="2"/>
  <c r="E85" i="2"/>
  <c r="D85" i="2"/>
  <c r="C85" i="2"/>
  <c r="L84" i="2"/>
  <c r="K84" i="2"/>
  <c r="J84" i="2"/>
  <c r="I84" i="2"/>
  <c r="H84" i="2"/>
  <c r="G84" i="2"/>
  <c r="F84" i="2"/>
  <c r="E84" i="2"/>
  <c r="D84" i="2"/>
  <c r="C84" i="2"/>
  <c r="L83" i="2"/>
  <c r="K83" i="2"/>
  <c r="J83" i="2"/>
  <c r="I83" i="2"/>
  <c r="H83" i="2"/>
  <c r="G83" i="2"/>
  <c r="F83" i="2"/>
  <c r="E83" i="2"/>
  <c r="D83" i="2"/>
  <c r="C83" i="2"/>
  <c r="L82" i="2"/>
  <c r="K82" i="2"/>
  <c r="J82" i="2"/>
  <c r="I82" i="2"/>
  <c r="H82" i="2"/>
  <c r="G82" i="2"/>
  <c r="F82" i="2"/>
  <c r="E82" i="2"/>
  <c r="D82" i="2"/>
  <c r="C82" i="2"/>
  <c r="L81" i="2"/>
  <c r="L92" i="2" s="1"/>
  <c r="K81" i="2"/>
  <c r="K92" i="2" s="1"/>
  <c r="J81" i="2"/>
  <c r="I81" i="2"/>
  <c r="H81" i="2"/>
  <c r="H92" i="2" s="1"/>
  <c r="G81" i="2"/>
  <c r="G92" i="2" s="1"/>
  <c r="F81" i="2"/>
  <c r="E81" i="2"/>
  <c r="D81" i="2"/>
  <c r="D92" i="2" s="1"/>
  <c r="C81" i="2"/>
  <c r="C92" i="2" s="1"/>
  <c r="L77" i="2"/>
  <c r="K77" i="2"/>
  <c r="J77" i="2"/>
  <c r="I77" i="2"/>
  <c r="H77" i="2"/>
  <c r="G77" i="2"/>
  <c r="F77" i="2"/>
  <c r="E77" i="2"/>
  <c r="D77" i="2"/>
  <c r="C77" i="2"/>
  <c r="L76" i="2"/>
  <c r="K76" i="2"/>
  <c r="J76" i="2"/>
  <c r="I76" i="2"/>
  <c r="H76" i="2"/>
  <c r="G76" i="2"/>
  <c r="F76" i="2"/>
  <c r="E76" i="2"/>
  <c r="D76" i="2"/>
  <c r="C76" i="2"/>
  <c r="L75" i="2"/>
  <c r="K75" i="2"/>
  <c r="J75" i="2"/>
  <c r="I75" i="2"/>
  <c r="H75" i="2"/>
  <c r="G75" i="2"/>
  <c r="F75" i="2"/>
  <c r="E75" i="2"/>
  <c r="D75" i="2"/>
  <c r="C75" i="2"/>
  <c r="L74" i="2"/>
  <c r="K74" i="2"/>
  <c r="J74" i="2"/>
  <c r="I74" i="2"/>
  <c r="H74" i="2"/>
  <c r="G74" i="2"/>
  <c r="F74" i="2"/>
  <c r="E74" i="2"/>
  <c r="D74" i="2"/>
  <c r="C74" i="2"/>
  <c r="L73" i="2"/>
  <c r="K73" i="2"/>
  <c r="J73" i="2"/>
  <c r="I73" i="2"/>
  <c r="H73" i="2"/>
  <c r="G73" i="2"/>
  <c r="F73" i="2"/>
  <c r="E73" i="2"/>
  <c r="D73" i="2"/>
  <c r="C73" i="2"/>
  <c r="L72" i="2"/>
  <c r="K72" i="2"/>
  <c r="J72" i="2"/>
  <c r="I72" i="2"/>
  <c r="H72" i="2"/>
  <c r="G72" i="2"/>
  <c r="F72" i="2"/>
  <c r="E72" i="2"/>
  <c r="D72" i="2"/>
  <c r="C72" i="2"/>
  <c r="L71" i="2"/>
  <c r="K71" i="2"/>
  <c r="J71" i="2"/>
  <c r="I71" i="2"/>
  <c r="I78" i="2" s="1"/>
  <c r="H71" i="2"/>
  <c r="G71" i="2"/>
  <c r="F71" i="2"/>
  <c r="E71" i="2"/>
  <c r="D71" i="2"/>
  <c r="C71" i="2"/>
  <c r="L70" i="2"/>
  <c r="L78" i="2" s="1"/>
  <c r="K70" i="2"/>
  <c r="J70" i="2"/>
  <c r="I70" i="2"/>
  <c r="H70" i="2"/>
  <c r="G70" i="2"/>
  <c r="F70" i="2"/>
  <c r="E70" i="2"/>
  <c r="D70" i="2"/>
  <c r="C70" i="2"/>
  <c r="H78" i="2"/>
  <c r="D78" i="2"/>
  <c r="L56" i="2"/>
  <c r="K56" i="2"/>
  <c r="J56" i="2"/>
  <c r="I56" i="2"/>
  <c r="H56" i="2"/>
  <c r="G56" i="2"/>
  <c r="F56" i="2"/>
  <c r="E56" i="2"/>
  <c r="D56" i="2"/>
  <c r="C56" i="2"/>
  <c r="L61" i="2"/>
  <c r="K61" i="2"/>
  <c r="J61" i="2"/>
  <c r="I61" i="2"/>
  <c r="H61" i="2"/>
  <c r="G61" i="2"/>
  <c r="F61" i="2"/>
  <c r="E61" i="2"/>
  <c r="D61" i="2"/>
  <c r="C61" i="2"/>
  <c r="L60" i="2"/>
  <c r="K60" i="2"/>
  <c r="J60" i="2"/>
  <c r="J62" i="2" s="1"/>
  <c r="I60" i="2"/>
  <c r="H60" i="2"/>
  <c r="G60" i="2"/>
  <c r="F60" i="2"/>
  <c r="F62" i="2" s="1"/>
  <c r="E60" i="2"/>
  <c r="D60" i="2"/>
  <c r="C60" i="2"/>
  <c r="L59" i="2"/>
  <c r="L62" i="2" s="1"/>
  <c r="K59" i="2"/>
  <c r="J59" i="2"/>
  <c r="I59" i="2"/>
  <c r="H59" i="2"/>
  <c r="H62" i="2" s="1"/>
  <c r="G59" i="2"/>
  <c r="F59" i="2"/>
  <c r="E59" i="2"/>
  <c r="D59" i="2"/>
  <c r="D62" i="2" s="1"/>
  <c r="C59" i="2"/>
  <c r="L55" i="2"/>
  <c r="K55" i="2"/>
  <c r="J55" i="2"/>
  <c r="I55" i="2"/>
  <c r="H55" i="2"/>
  <c r="G55" i="2"/>
  <c r="F55" i="2"/>
  <c r="E55" i="2"/>
  <c r="D55" i="2"/>
  <c r="L54" i="2"/>
  <c r="K54" i="2"/>
  <c r="J54" i="2"/>
  <c r="J57" i="2" s="1"/>
  <c r="I54" i="2"/>
  <c r="H54" i="2"/>
  <c r="G54" i="2"/>
  <c r="F54" i="2"/>
  <c r="F57" i="2" s="1"/>
  <c r="F64" i="2" s="1"/>
  <c r="E54" i="2"/>
  <c r="D54" i="2"/>
  <c r="L53" i="2"/>
  <c r="K53" i="2"/>
  <c r="K57" i="2" s="1"/>
  <c r="J53" i="2"/>
  <c r="I53" i="2"/>
  <c r="H53" i="2"/>
  <c r="G53" i="2"/>
  <c r="G57" i="2" s="1"/>
  <c r="F53" i="2"/>
  <c r="E53" i="2"/>
  <c r="D53" i="2"/>
  <c r="D57" i="2" s="1"/>
  <c r="C54" i="2"/>
  <c r="C55" i="2"/>
  <c r="C53" i="2"/>
  <c r="L51" i="2"/>
  <c r="K51" i="2"/>
  <c r="J51" i="2"/>
  <c r="I51" i="2"/>
  <c r="H51" i="2"/>
  <c r="G51" i="2"/>
  <c r="F51" i="2"/>
  <c r="E51" i="2"/>
  <c r="D51" i="2"/>
  <c r="C51" i="2"/>
  <c r="L50" i="2"/>
  <c r="K50" i="2"/>
  <c r="J50" i="2"/>
  <c r="I50" i="2"/>
  <c r="H50" i="2"/>
  <c r="G50" i="2"/>
  <c r="F50" i="2"/>
  <c r="E50" i="2"/>
  <c r="D50" i="2"/>
  <c r="C50" i="2"/>
  <c r="L49" i="2"/>
  <c r="K49" i="2"/>
  <c r="J49" i="2"/>
  <c r="I49" i="2"/>
  <c r="H49" i="2"/>
  <c r="H41" i="6" s="1"/>
  <c r="G49" i="2"/>
  <c r="F49" i="2"/>
  <c r="E49" i="2"/>
  <c r="D49" i="2"/>
  <c r="D41" i="6" s="1"/>
  <c r="C49" i="2"/>
  <c r="L48" i="2"/>
  <c r="K48" i="2"/>
  <c r="J48" i="2"/>
  <c r="I48" i="2"/>
  <c r="H48" i="2"/>
  <c r="G48" i="2"/>
  <c r="F48" i="2"/>
  <c r="E48" i="2"/>
  <c r="D48" i="2"/>
  <c r="C48" i="2"/>
  <c r="L47" i="2"/>
  <c r="K47" i="2"/>
  <c r="J47" i="2"/>
  <c r="I47" i="2"/>
  <c r="H47" i="2"/>
  <c r="G47" i="2"/>
  <c r="F47" i="2"/>
  <c r="E47" i="2"/>
  <c r="D47" i="2"/>
  <c r="C47" i="2"/>
  <c r="L41" i="6" l="1"/>
  <c r="E78" i="2"/>
  <c r="E92" i="2"/>
  <c r="I92" i="2"/>
  <c r="I105" i="2" s="1"/>
  <c r="C103" i="2"/>
  <c r="K103" i="2"/>
  <c r="D15" i="7"/>
  <c r="D16" i="7" s="1"/>
  <c r="D17" i="7" s="1"/>
  <c r="D18" i="7" s="1"/>
  <c r="F18" i="7" s="1"/>
  <c r="F14" i="7"/>
  <c r="C62" i="2"/>
  <c r="G62" i="2"/>
  <c r="G64" i="2" s="1"/>
  <c r="G40" i="6" s="1"/>
  <c r="K62" i="2"/>
  <c r="K64" i="2" s="1"/>
  <c r="K40" i="6" s="1"/>
  <c r="F78" i="2"/>
  <c r="F41" i="6" s="1"/>
  <c r="J78" i="2"/>
  <c r="F92" i="2"/>
  <c r="J92" i="2"/>
  <c r="D103" i="2"/>
  <c r="D105" i="2" s="1"/>
  <c r="H103" i="2"/>
  <c r="L103" i="2"/>
  <c r="L105" i="2" s="1"/>
  <c r="H105" i="2"/>
  <c r="E41" i="6"/>
  <c r="G78" i="2"/>
  <c r="G105" i="2" s="1"/>
  <c r="C78" i="2"/>
  <c r="C105" i="2" s="1"/>
  <c r="H57" i="2"/>
  <c r="L57" i="2"/>
  <c r="L64" i="2" s="1"/>
  <c r="L40" i="6" s="1"/>
  <c r="J64" i="2"/>
  <c r="J40" i="6" s="1"/>
  <c r="I41" i="6"/>
  <c r="K78" i="2"/>
  <c r="K105" i="2" s="1"/>
  <c r="D39" i="10"/>
  <c r="K42" i="10"/>
  <c r="E39" i="10"/>
  <c r="K35" i="10" s="1"/>
  <c r="K37" i="10" s="1"/>
  <c r="K28" i="10" s="1"/>
  <c r="K29" i="10" s="1"/>
  <c r="K41" i="10" s="1"/>
  <c r="K47" i="10" s="1"/>
  <c r="H64" i="2"/>
  <c r="H40" i="6" s="1"/>
  <c r="G7" i="7"/>
  <c r="G11" i="7"/>
  <c r="G6" i="7"/>
  <c r="F66" i="2"/>
  <c r="J66" i="2"/>
  <c r="D64" i="2"/>
  <c r="D40" i="6" s="1"/>
  <c r="C57" i="2"/>
  <c r="C64" i="2" s="1"/>
  <c r="E57" i="2"/>
  <c r="I57" i="2"/>
  <c r="E62" i="2"/>
  <c r="I62" i="2"/>
  <c r="F15" i="7"/>
  <c r="G12" i="7"/>
  <c r="G8" i="7"/>
  <c r="N15" i="7"/>
  <c r="I15" i="7"/>
  <c r="D36" i="2"/>
  <c r="D41" i="2" s="1"/>
  <c r="E36" i="2"/>
  <c r="E41" i="2" s="1"/>
  <c r="F36" i="2"/>
  <c r="F41" i="2" s="1"/>
  <c r="F9" i="6" s="1"/>
  <c r="G36" i="2"/>
  <c r="G41" i="2" s="1"/>
  <c r="G9" i="6" s="1"/>
  <c r="H36" i="2"/>
  <c r="H41" i="2" s="1"/>
  <c r="I36" i="2"/>
  <c r="I41" i="2" s="1"/>
  <c r="J36" i="2"/>
  <c r="J41" i="2" s="1"/>
  <c r="J9" i="6" s="1"/>
  <c r="K36" i="2"/>
  <c r="K41" i="2" s="1"/>
  <c r="K9" i="6" s="1"/>
  <c r="L36" i="2"/>
  <c r="L41" i="2" s="1"/>
  <c r="C36" i="2"/>
  <c r="C41" i="2" s="1"/>
  <c r="D30" i="2"/>
  <c r="E30" i="2"/>
  <c r="F30" i="2"/>
  <c r="G30" i="2"/>
  <c r="H30" i="2"/>
  <c r="I30" i="2"/>
  <c r="J30" i="2"/>
  <c r="K30" i="2"/>
  <c r="L30" i="2"/>
  <c r="C30" i="2"/>
  <c r="C9" i="2"/>
  <c r="D24" i="2"/>
  <c r="E24" i="2"/>
  <c r="F24" i="2"/>
  <c r="G24" i="2"/>
  <c r="H24" i="2"/>
  <c r="I24" i="2"/>
  <c r="J24" i="2"/>
  <c r="K24" i="2"/>
  <c r="L24" i="2"/>
  <c r="C24" i="2"/>
  <c r="D21" i="2"/>
  <c r="E21" i="2"/>
  <c r="F21" i="2"/>
  <c r="G21" i="2"/>
  <c r="H21" i="2"/>
  <c r="I21" i="2"/>
  <c r="J21" i="2"/>
  <c r="K21" i="2"/>
  <c r="L21" i="2"/>
  <c r="C21" i="2"/>
  <c r="D15" i="2"/>
  <c r="E15" i="2"/>
  <c r="F15" i="2"/>
  <c r="G15" i="2"/>
  <c r="H15" i="2"/>
  <c r="I15" i="2"/>
  <c r="J15" i="2"/>
  <c r="K15" i="2"/>
  <c r="L15" i="2"/>
  <c r="C15" i="2"/>
  <c r="F40" i="6" l="1"/>
  <c r="G41" i="6"/>
  <c r="K41" i="6"/>
  <c r="E105" i="2"/>
  <c r="F105" i="2"/>
  <c r="J105" i="2"/>
  <c r="J41" i="6"/>
  <c r="C41" i="6"/>
  <c r="C40" i="6"/>
  <c r="K66" i="2"/>
  <c r="G66" i="2"/>
  <c r="I64" i="2"/>
  <c r="I40" i="6" s="1"/>
  <c r="G9" i="7"/>
  <c r="L9" i="6"/>
  <c r="H9" i="6"/>
  <c r="D9" i="6"/>
  <c r="E64" i="2"/>
  <c r="E40" i="6" s="1"/>
  <c r="H66" i="2"/>
  <c r="F17" i="7"/>
  <c r="G18" i="7" s="1"/>
  <c r="F16" i="7"/>
  <c r="G16" i="7" s="1"/>
  <c r="L66" i="2"/>
  <c r="C66" i="2"/>
  <c r="I66" i="2"/>
  <c r="E66" i="2"/>
  <c r="I9" i="6"/>
  <c r="E9" i="6"/>
  <c r="G14" i="7"/>
  <c r="G13" i="7"/>
  <c r="D66" i="2"/>
  <c r="N16" i="7"/>
  <c r="I16" i="7"/>
  <c r="D9" i="2"/>
  <c r="E9" i="2"/>
  <c r="F9" i="2"/>
  <c r="G9" i="2"/>
  <c r="H9" i="2"/>
  <c r="I9" i="2"/>
  <c r="J9" i="2"/>
  <c r="K9" i="2"/>
  <c r="L9" i="2"/>
  <c r="D6" i="2"/>
  <c r="L6" i="2"/>
  <c r="K6" i="2"/>
  <c r="J6" i="2"/>
  <c r="I6" i="2"/>
  <c r="H6" i="2"/>
  <c r="G6" i="2"/>
  <c r="F6" i="2"/>
  <c r="E6" i="2"/>
  <c r="C6" i="2"/>
  <c r="D3" i="2"/>
  <c r="E3" i="2"/>
  <c r="F3" i="2"/>
  <c r="G3" i="2"/>
  <c r="H3" i="2"/>
  <c r="I3" i="2"/>
  <c r="J3" i="2"/>
  <c r="K3" i="2"/>
  <c r="C3" i="2"/>
  <c r="B6" i="4"/>
  <c r="E1" i="4"/>
  <c r="O40" i="6" l="1"/>
  <c r="N41" i="6"/>
  <c r="O41" i="6"/>
  <c r="N9" i="6"/>
  <c r="J16" i="2"/>
  <c r="J17" i="6" s="1"/>
  <c r="J27" i="6"/>
  <c r="J34" i="6" s="1"/>
  <c r="J39" i="6"/>
  <c r="J31" i="6"/>
  <c r="J30" i="6"/>
  <c r="J29" i="6"/>
  <c r="J36" i="6" s="1"/>
  <c r="J28" i="6"/>
  <c r="J35" i="6" s="1"/>
  <c r="G39" i="6"/>
  <c r="G31" i="6"/>
  <c r="G30" i="6"/>
  <c r="G28" i="6"/>
  <c r="G35" i="6" s="1"/>
  <c r="G27" i="6"/>
  <c r="G34" i="6" s="1"/>
  <c r="G29" i="6"/>
  <c r="G36" i="6" s="1"/>
  <c r="K39" i="6"/>
  <c r="K31" i="6"/>
  <c r="K30" i="6"/>
  <c r="K27" i="6"/>
  <c r="K34" i="6" s="1"/>
  <c r="K29" i="6"/>
  <c r="K36" i="6" s="1"/>
  <c r="K28" i="6"/>
  <c r="K35" i="6" s="1"/>
  <c r="O9" i="6"/>
  <c r="G17" i="7"/>
  <c r="C22" i="2"/>
  <c r="C29" i="6"/>
  <c r="C27" i="6"/>
  <c r="C39" i="6"/>
  <c r="C31" i="6"/>
  <c r="C30" i="6"/>
  <c r="C28" i="6"/>
  <c r="H16" i="2"/>
  <c r="H17" i="6" s="1"/>
  <c r="H30" i="6"/>
  <c r="H29" i="6"/>
  <c r="H36" i="6" s="1"/>
  <c r="H28" i="6"/>
  <c r="H35" i="6" s="1"/>
  <c r="H27" i="6"/>
  <c r="H34" i="6" s="1"/>
  <c r="H39" i="6"/>
  <c r="H31" i="6"/>
  <c r="L16" i="2"/>
  <c r="L17" i="6" s="1"/>
  <c r="L30" i="6"/>
  <c r="L29" i="6"/>
  <c r="L36" i="6" s="1"/>
  <c r="L28" i="6"/>
  <c r="L35" i="6" s="1"/>
  <c r="L27" i="6"/>
  <c r="L34" i="6" s="1"/>
  <c r="L39" i="6"/>
  <c r="L31" i="6"/>
  <c r="N40" i="6"/>
  <c r="F22" i="2"/>
  <c r="F27" i="6"/>
  <c r="F34" i="6" s="1"/>
  <c r="F39" i="6"/>
  <c r="F31" i="6"/>
  <c r="F28" i="6"/>
  <c r="F35" i="6" s="1"/>
  <c r="F30" i="6"/>
  <c r="F29" i="6"/>
  <c r="F36" i="6" s="1"/>
  <c r="E7" i="2"/>
  <c r="E5" i="6" s="1"/>
  <c r="E29" i="6"/>
  <c r="E36" i="6" s="1"/>
  <c r="E28" i="6"/>
  <c r="E35" i="6" s="1"/>
  <c r="E27" i="6"/>
  <c r="E34" i="6" s="1"/>
  <c r="E39" i="6"/>
  <c r="E31" i="6"/>
  <c r="E30" i="6"/>
  <c r="I25" i="2"/>
  <c r="I18" i="6" s="1"/>
  <c r="I29" i="6"/>
  <c r="I36" i="6" s="1"/>
  <c r="I28" i="6"/>
  <c r="I35" i="6" s="1"/>
  <c r="I27" i="6"/>
  <c r="I34" i="6" s="1"/>
  <c r="I39" i="6"/>
  <c r="I31" i="6"/>
  <c r="I30" i="6"/>
  <c r="D22" i="2"/>
  <c r="D30" i="6"/>
  <c r="D29" i="6"/>
  <c r="D36" i="6" s="1"/>
  <c r="D28" i="6"/>
  <c r="D35" i="6" s="1"/>
  <c r="D27" i="6"/>
  <c r="D34" i="6" s="1"/>
  <c r="D39" i="6"/>
  <c r="D31" i="6"/>
  <c r="G15" i="7"/>
  <c r="N17" i="7"/>
  <c r="I17" i="7"/>
  <c r="K10" i="2"/>
  <c r="L25" i="2"/>
  <c r="L18" i="6" s="1"/>
  <c r="F25" i="2"/>
  <c r="F18" i="6" s="1"/>
  <c r="G10" i="2"/>
  <c r="E22" i="2"/>
  <c r="J25" i="2"/>
  <c r="J18" i="6" s="1"/>
  <c r="F16" i="2"/>
  <c r="F17" i="6" s="1"/>
  <c r="E16" i="2"/>
  <c r="E17" i="6" s="1"/>
  <c r="G12" i="2"/>
  <c r="G16" i="2"/>
  <c r="G17" i="6" s="1"/>
  <c r="K12" i="2"/>
  <c r="K16" i="2"/>
  <c r="K17" i="6" s="1"/>
  <c r="L7" i="2"/>
  <c r="L5" i="6" s="1"/>
  <c r="K25" i="2"/>
  <c r="K18" i="6" s="1"/>
  <c r="K22" i="2"/>
  <c r="H7" i="2"/>
  <c r="H5" i="6" s="1"/>
  <c r="C25" i="2"/>
  <c r="C18" i="6" s="1"/>
  <c r="I7" i="2"/>
  <c r="I5" i="6" s="1"/>
  <c r="D7" i="2"/>
  <c r="D5" i="6" s="1"/>
  <c r="D16" i="2"/>
  <c r="D17" i="6" s="1"/>
  <c r="C10" i="2"/>
  <c r="I10" i="2"/>
  <c r="E10" i="2"/>
  <c r="H22" i="2"/>
  <c r="D25" i="2"/>
  <c r="D18" i="6" s="1"/>
  <c r="I22" i="2"/>
  <c r="I16" i="2"/>
  <c r="I17" i="6" s="1"/>
  <c r="F12" i="2"/>
  <c r="J12" i="2"/>
  <c r="L10" i="2"/>
  <c r="H10" i="2"/>
  <c r="D10" i="2"/>
  <c r="G25" i="2"/>
  <c r="G18" i="6" s="1"/>
  <c r="L22" i="2"/>
  <c r="H25" i="2"/>
  <c r="H18" i="6" s="1"/>
  <c r="E25" i="2"/>
  <c r="E18" i="6" s="1"/>
  <c r="J22" i="2"/>
  <c r="G22" i="2"/>
  <c r="C16" i="2"/>
  <c r="C17" i="6" s="1"/>
  <c r="C12" i="2"/>
  <c r="I12" i="2"/>
  <c r="E12" i="2"/>
  <c r="K7" i="2"/>
  <c r="K5" i="6" s="1"/>
  <c r="G7" i="2"/>
  <c r="G5" i="6" s="1"/>
  <c r="J10" i="2"/>
  <c r="F10" i="2"/>
  <c r="L12" i="2"/>
  <c r="H12" i="2"/>
  <c r="D12" i="2"/>
  <c r="J7" i="2"/>
  <c r="J5" i="6" s="1"/>
  <c r="F7" i="2"/>
  <c r="F5" i="6" s="1"/>
  <c r="D37" i="6" l="1"/>
  <c r="I37" i="6"/>
  <c r="H37" i="6"/>
  <c r="O18" i="6"/>
  <c r="N18" i="6"/>
  <c r="L37" i="6"/>
  <c r="O30" i="6"/>
  <c r="N30" i="6"/>
  <c r="C36" i="6"/>
  <c r="O29" i="6"/>
  <c r="N29" i="6"/>
  <c r="K37" i="6"/>
  <c r="G37" i="6"/>
  <c r="J37" i="6"/>
  <c r="N17" i="6"/>
  <c r="O17" i="6"/>
  <c r="C35" i="6"/>
  <c r="O28" i="6"/>
  <c r="N28" i="6"/>
  <c r="N27" i="6"/>
  <c r="O27" i="6"/>
  <c r="C34" i="6"/>
  <c r="O34" i="6" s="1"/>
  <c r="N5" i="6"/>
  <c r="O5" i="6"/>
  <c r="N31" i="6"/>
  <c r="O31" i="6"/>
  <c r="E37" i="6"/>
  <c r="F37" i="6"/>
  <c r="O39" i="6"/>
  <c r="N39" i="6"/>
  <c r="N18" i="7"/>
  <c r="I18" i="7"/>
  <c r="D18" i="2"/>
  <c r="D13" i="2"/>
  <c r="D11" i="6" s="1"/>
  <c r="H18" i="2"/>
  <c r="H13" i="2"/>
  <c r="H11" i="6" s="1"/>
  <c r="C18" i="2"/>
  <c r="C13" i="2"/>
  <c r="C11" i="6" s="1"/>
  <c r="K18" i="2"/>
  <c r="K13" i="2"/>
  <c r="K11" i="6" s="1"/>
  <c r="I18" i="2"/>
  <c r="I13" i="2"/>
  <c r="I11" i="6" s="1"/>
  <c r="F18" i="2"/>
  <c r="F13" i="2"/>
  <c r="F11" i="6" s="1"/>
  <c r="L18" i="2"/>
  <c r="L13" i="2"/>
  <c r="L11" i="6" s="1"/>
  <c r="E18" i="2"/>
  <c r="E13" i="2"/>
  <c r="E11" i="6" s="1"/>
  <c r="J18" i="2"/>
  <c r="J13" i="2"/>
  <c r="J11" i="6" s="1"/>
  <c r="G18" i="2"/>
  <c r="G13" i="2"/>
  <c r="G11" i="6" s="1"/>
  <c r="G25" i="6" l="1"/>
  <c r="G13" i="6"/>
  <c r="G19" i="6" s="1"/>
  <c r="G6" i="6"/>
  <c r="G21" i="6"/>
  <c r="F13" i="6"/>
  <c r="F19" i="6" s="1"/>
  <c r="F6" i="6"/>
  <c r="F25" i="6"/>
  <c r="F21" i="6"/>
  <c r="O11" i="6"/>
  <c r="N11" i="6"/>
  <c r="J13" i="6"/>
  <c r="J19" i="6" s="1"/>
  <c r="J6" i="6"/>
  <c r="J21" i="6"/>
  <c r="J25" i="6"/>
  <c r="L25" i="6"/>
  <c r="L21" i="6"/>
  <c r="L13" i="6"/>
  <c r="L19" i="6" s="1"/>
  <c r="L6" i="6"/>
  <c r="I21" i="6"/>
  <c r="I25" i="6"/>
  <c r="I13" i="6"/>
  <c r="I19" i="6" s="1"/>
  <c r="I6" i="6"/>
  <c r="C21" i="6"/>
  <c r="C25" i="6"/>
  <c r="C13" i="6"/>
  <c r="D25" i="6"/>
  <c r="D21" i="6"/>
  <c r="D6" i="6"/>
  <c r="D13" i="6"/>
  <c r="D19" i="6" s="1"/>
  <c r="C37" i="6"/>
  <c r="N37" i="6" s="1"/>
  <c r="N34" i="6"/>
  <c r="E21" i="6"/>
  <c r="E25" i="6"/>
  <c r="E13" i="6"/>
  <c r="E19" i="6" s="1"/>
  <c r="E6" i="6"/>
  <c r="H25" i="6"/>
  <c r="H21" i="6"/>
  <c r="H13" i="6"/>
  <c r="H19" i="6" s="1"/>
  <c r="H6" i="6"/>
  <c r="O35" i="6"/>
  <c r="N35" i="6"/>
  <c r="N36" i="6"/>
  <c r="O36" i="6"/>
  <c r="K25" i="6"/>
  <c r="K13" i="6"/>
  <c r="K19" i="6" s="1"/>
  <c r="K6" i="6"/>
  <c r="K21" i="6"/>
  <c r="J19" i="2"/>
  <c r="J12" i="6" s="1"/>
  <c r="J27" i="2"/>
  <c r="J37" i="16" s="1"/>
  <c r="G19" i="2"/>
  <c r="G12" i="6" s="1"/>
  <c r="G27" i="2"/>
  <c r="E19" i="2"/>
  <c r="E12" i="6" s="1"/>
  <c r="E27" i="2"/>
  <c r="F19" i="2"/>
  <c r="F12" i="6" s="1"/>
  <c r="F27" i="2"/>
  <c r="K19" i="2"/>
  <c r="K12" i="6" s="1"/>
  <c r="K27" i="2"/>
  <c r="H19" i="2"/>
  <c r="H12" i="6" s="1"/>
  <c r="H27" i="2"/>
  <c r="L19" i="2"/>
  <c r="L12" i="6" s="1"/>
  <c r="L27" i="2"/>
  <c r="I19" i="2"/>
  <c r="I12" i="6" s="1"/>
  <c r="I27" i="2"/>
  <c r="C19" i="2"/>
  <c r="C12" i="6" s="1"/>
  <c r="C27" i="2"/>
  <c r="D19" i="2"/>
  <c r="D12" i="6" s="1"/>
  <c r="D27" i="2"/>
  <c r="I7" i="6" l="1"/>
  <c r="I37" i="16"/>
  <c r="L7" i="6"/>
  <c r="L37" i="16"/>
  <c r="J47" i="16"/>
  <c r="J49" i="16" s="1"/>
  <c r="J53" i="16" s="1"/>
  <c r="J61" i="16" s="1"/>
  <c r="J39" i="16"/>
  <c r="J62" i="16" s="1"/>
  <c r="H7" i="6"/>
  <c r="H37" i="16"/>
  <c r="K7" i="6"/>
  <c r="K37" i="16"/>
  <c r="O37" i="6"/>
  <c r="D7" i="6"/>
  <c r="F7" i="6"/>
  <c r="G7" i="6"/>
  <c r="K14" i="7"/>
  <c r="L5" i="7"/>
  <c r="O21" i="6"/>
  <c r="N21" i="6"/>
  <c r="C19" i="6"/>
  <c r="O13" i="6"/>
  <c r="N13" i="6"/>
  <c r="O12" i="6"/>
  <c r="N12" i="6"/>
  <c r="E7" i="6"/>
  <c r="J7" i="6"/>
  <c r="O6" i="6"/>
  <c r="N6" i="6"/>
  <c r="O25" i="6"/>
  <c r="N25" i="6"/>
  <c r="I28" i="2"/>
  <c r="I14" i="6" s="1"/>
  <c r="I33" i="2"/>
  <c r="I31" i="2"/>
  <c r="H28" i="2"/>
  <c r="H14" i="6" s="1"/>
  <c r="H33" i="2"/>
  <c r="H31" i="2"/>
  <c r="G28" i="2"/>
  <c r="G14" i="6" s="1"/>
  <c r="G33" i="2"/>
  <c r="G31" i="2"/>
  <c r="C28" i="2"/>
  <c r="C14" i="6" s="1"/>
  <c r="C31" i="2"/>
  <c r="C33" i="2"/>
  <c r="C23" i="6" s="1"/>
  <c r="L28" i="2"/>
  <c r="L14" i="6" s="1"/>
  <c r="L33" i="2"/>
  <c r="L31" i="2"/>
  <c r="K28" i="2"/>
  <c r="K14" i="6" s="1"/>
  <c r="K33" i="2"/>
  <c r="K31" i="2"/>
  <c r="E28" i="2"/>
  <c r="E14" i="6" s="1"/>
  <c r="E33" i="2"/>
  <c r="E31" i="2"/>
  <c r="J28" i="2"/>
  <c r="J14" i="6" s="1"/>
  <c r="J33" i="2"/>
  <c r="J31" i="2"/>
  <c r="D28" i="2"/>
  <c r="D14" i="6" s="1"/>
  <c r="D33" i="2"/>
  <c r="D31" i="2"/>
  <c r="F28" i="2"/>
  <c r="F14" i="6" s="1"/>
  <c r="F33" i="2"/>
  <c r="F31" i="2"/>
  <c r="J64" i="16" l="1"/>
  <c r="H47" i="16"/>
  <c r="H49" i="16" s="1"/>
  <c r="H39" i="16"/>
  <c r="L12" i="7"/>
  <c r="L47" i="16"/>
  <c r="L49" i="16" s="1"/>
  <c r="L53" i="16" s="1"/>
  <c r="L61" i="16" s="1"/>
  <c r="L39" i="16"/>
  <c r="L62" i="16" s="1"/>
  <c r="K47" i="16"/>
  <c r="K49" i="16" s="1"/>
  <c r="K53" i="16" s="1"/>
  <c r="K61" i="16" s="1"/>
  <c r="K39" i="16"/>
  <c r="K62" i="16" s="1"/>
  <c r="I47" i="16"/>
  <c r="I49" i="16" s="1"/>
  <c r="I53" i="16" s="1"/>
  <c r="I39" i="16"/>
  <c r="I62" i="16" s="1"/>
  <c r="L9" i="7"/>
  <c r="L11" i="7"/>
  <c r="L7" i="7"/>
  <c r="N14" i="6"/>
  <c r="O14" i="6"/>
  <c r="I23" i="6"/>
  <c r="I8" i="6"/>
  <c r="N19" i="6"/>
  <c r="O19" i="6"/>
  <c r="F23" i="6"/>
  <c r="F8" i="6"/>
  <c r="K23" i="6"/>
  <c r="K8" i="6"/>
  <c r="H23" i="6"/>
  <c r="H8" i="6"/>
  <c r="L10" i="7"/>
  <c r="L8" i="7"/>
  <c r="L8" i="6"/>
  <c r="L23" i="6"/>
  <c r="G23" i="6"/>
  <c r="G8" i="6"/>
  <c r="K18" i="7"/>
  <c r="K17" i="7"/>
  <c r="L14" i="7"/>
  <c r="K16" i="7"/>
  <c r="K15" i="7"/>
  <c r="D8" i="6"/>
  <c r="D23" i="6"/>
  <c r="E8" i="6"/>
  <c r="E23" i="6"/>
  <c r="J23" i="6"/>
  <c r="J8" i="6"/>
  <c r="L13" i="7"/>
  <c r="L6" i="7"/>
  <c r="N7" i="6"/>
  <c r="O7" i="6"/>
  <c r="E38" i="2"/>
  <c r="E34" i="2"/>
  <c r="E15" i="6" s="1"/>
  <c r="C34" i="2"/>
  <c r="C15" i="6" s="1"/>
  <c r="C38" i="2"/>
  <c r="G38" i="2"/>
  <c r="G34" i="2"/>
  <c r="G15" i="6" s="1"/>
  <c r="J34" i="2"/>
  <c r="J15" i="6" s="1"/>
  <c r="J38" i="2"/>
  <c r="D38" i="2"/>
  <c r="D34" i="2"/>
  <c r="D15" i="6" s="1"/>
  <c r="L38" i="2"/>
  <c r="L34" i="2"/>
  <c r="L15" i="6" s="1"/>
  <c r="I38" i="2"/>
  <c r="I34" i="2"/>
  <c r="I15" i="6" s="1"/>
  <c r="F34" i="2"/>
  <c r="F15" i="6" s="1"/>
  <c r="F38" i="2"/>
  <c r="K34" i="2"/>
  <c r="K15" i="6" s="1"/>
  <c r="K38" i="2"/>
  <c r="H38" i="2"/>
  <c r="H34" i="2"/>
  <c r="H15" i="6" s="1"/>
  <c r="K64" i="16" l="1"/>
  <c r="L64" i="16"/>
  <c r="I61" i="16"/>
  <c r="I64" i="16" s="1"/>
  <c r="L56" i="16"/>
  <c r="L55" i="16"/>
  <c r="O23" i="6"/>
  <c r="L15" i="7"/>
  <c r="L16" i="7"/>
  <c r="N15" i="6"/>
  <c r="O15" i="6"/>
  <c r="N8" i="6"/>
  <c r="O8" i="6"/>
  <c r="L17" i="7"/>
  <c r="N23" i="6"/>
  <c r="L18" i="7"/>
  <c r="F44" i="2"/>
  <c r="F22" i="6" s="1"/>
  <c r="F24" i="6" s="1"/>
  <c r="F39" i="2"/>
  <c r="F42" i="2"/>
  <c r="J44" i="2"/>
  <c r="J22" i="6" s="1"/>
  <c r="J24" i="6" s="1"/>
  <c r="J39" i="2"/>
  <c r="J42" i="2"/>
  <c r="C42" i="2"/>
  <c r="C44" i="2" s="1"/>
  <c r="C22" i="6" s="1"/>
  <c r="H44" i="2"/>
  <c r="H22" i="6" s="1"/>
  <c r="H24" i="6" s="1"/>
  <c r="H39" i="2"/>
  <c r="H42" i="2"/>
  <c r="L39" i="2"/>
  <c r="L42" i="2"/>
  <c r="L44" i="2" s="1"/>
  <c r="L22" i="6" s="1"/>
  <c r="L24" i="6" s="1"/>
  <c r="K39" i="2"/>
  <c r="K42" i="2"/>
  <c r="K44" i="2" s="1"/>
  <c r="K22" i="6" s="1"/>
  <c r="K24" i="6" s="1"/>
  <c r="I39" i="2"/>
  <c r="I42" i="2"/>
  <c r="I44" i="2" s="1"/>
  <c r="I22" i="6" s="1"/>
  <c r="I24" i="6" s="1"/>
  <c r="D39" i="2"/>
  <c r="D42" i="2"/>
  <c r="D44" i="2" s="1"/>
  <c r="D22" i="6" s="1"/>
  <c r="D24" i="6" s="1"/>
  <c r="G44" i="2"/>
  <c r="G22" i="6" s="1"/>
  <c r="G24" i="6" s="1"/>
  <c r="G39" i="2"/>
  <c r="G42" i="2"/>
  <c r="E39" i="2"/>
  <c r="E42" i="2"/>
  <c r="E44" i="2" s="1"/>
  <c r="E22" i="6" s="1"/>
  <c r="E24" i="6" s="1"/>
  <c r="L66" i="16" l="1"/>
  <c r="L67" i="16"/>
  <c r="C24" i="6"/>
  <c r="O22" i="6"/>
  <c r="N22" i="6"/>
  <c r="Q10" i="7"/>
  <c r="Q8" i="7"/>
  <c r="Q5" i="7" l="1"/>
  <c r="Q13" i="7"/>
  <c r="Q11" i="7"/>
  <c r="Q7" i="7"/>
  <c r="N24" i="6"/>
  <c r="O24" i="6"/>
  <c r="Q12" i="7"/>
  <c r="P18" i="7"/>
  <c r="P14" i="7"/>
  <c r="Q14" i="7" s="1"/>
  <c r="P17" i="7"/>
  <c r="P16" i="7"/>
  <c r="P15" i="7"/>
  <c r="Q6" i="7"/>
  <c r="Q9" i="7"/>
  <c r="Q17" i="7" l="1"/>
  <c r="Q15" i="7"/>
  <c r="Q18" i="7"/>
  <c r="Q16" i="7"/>
</calcChain>
</file>

<file path=xl/sharedStrings.xml><?xml version="1.0" encoding="utf-8"?>
<sst xmlns="http://schemas.openxmlformats.org/spreadsheetml/2006/main" count="439" uniqueCount="305">
  <si>
    <t>COMPANY NAME</t>
  </si>
  <si>
    <t>ASIAN PAINTS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</si>
  <si>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</si>
  <si>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</si>
  <si>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</si>
  <si>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</si>
  <si>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</si>
  <si>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</si>
  <si>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</si>
  <si>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</si>
  <si>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</si>
  <si>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</si>
  <si>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</si>
  <si>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</si>
  <si>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</si>
  <si>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</si>
  <si>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</si>
  <si>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</si>
  <si>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</si>
  <si>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</si>
  <si>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</si>
  <si>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</si>
  <si>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</si>
  <si>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</si>
  <si>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</si>
  <si>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</si>
  <si>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</si>
  <si>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</si>
  <si>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</si>
  <si>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</si>
  <si>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</si>
  <si>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</si>
  <si>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</si>
  <si>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</si>
  <si>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</si>
  <si>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</si>
  <si>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</si>
  <si>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</si>
  <si>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</si>
  <si>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</si>
  <si>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</si>
  <si>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</si>
  <si>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</si>
  <si>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</si>
  <si>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</si>
  <si>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</si>
  <si>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</si>
  <si>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</si>
  <si>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</si>
  <si>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</si>
  <si>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</si>
  <si>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</si>
  <si>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</si>
  <si>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</si>
  <si>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</si>
  <si>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#</t>
  </si>
  <si>
    <t>Income Statement</t>
  </si>
  <si>
    <t>Sales Growth</t>
  </si>
  <si>
    <t>-</t>
  </si>
  <si>
    <t>COGS</t>
  </si>
  <si>
    <t>COGS % Sales</t>
  </si>
  <si>
    <t>Gross Profit</t>
  </si>
  <si>
    <t>Selling &amp; General Expenses</t>
  </si>
  <si>
    <t>S&amp;G % of sales</t>
  </si>
  <si>
    <t>EBITDA</t>
  </si>
  <si>
    <t>EBITDA Margins</t>
  </si>
  <si>
    <t>Interest % of Sales</t>
  </si>
  <si>
    <t>Depriciation</t>
  </si>
  <si>
    <t>Depriciation % of Sales</t>
  </si>
  <si>
    <t>Earnings Before Tax(EBT)</t>
  </si>
  <si>
    <t>EBT % of Sales</t>
  </si>
  <si>
    <t>Gross Margin</t>
  </si>
  <si>
    <t>Effective Tax Rate</t>
  </si>
  <si>
    <t>Net Profit</t>
  </si>
  <si>
    <t>Net Margin</t>
  </si>
  <si>
    <t>Earnings Per Share(EPS)</t>
  </si>
  <si>
    <t>Dividend Per Share</t>
  </si>
  <si>
    <t>EPS Growth %</t>
  </si>
  <si>
    <t>Dividend Payout Ratio</t>
  </si>
  <si>
    <t>Retained Earnings</t>
  </si>
  <si>
    <t>Balance Sheet</t>
  </si>
  <si>
    <t>Total Liabilities</t>
  </si>
  <si>
    <t>Fixed Asset Net Block</t>
  </si>
  <si>
    <t>Total Assets</t>
  </si>
  <si>
    <t>Total Current Assets</t>
  </si>
  <si>
    <t>Total Non Current Assets</t>
  </si>
  <si>
    <t>Check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</si>
  <si>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</si>
  <si>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</si>
  <si>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</si>
  <si>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</si>
  <si>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</si>
  <si>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</si>
  <si>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</si>
  <si>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</si>
  <si>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</si>
  <si>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</si>
  <si>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</si>
  <si>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</si>
  <si>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</si>
  <si>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</si>
  <si>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</si>
  <si>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</si>
  <si>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</si>
  <si>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</si>
  <si>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</si>
  <si>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</si>
  <si>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</si>
  <si>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</si>
  <si>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</si>
  <si>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</si>
  <si>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</si>
  <si>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</si>
  <si>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</si>
  <si>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</si>
  <si>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Flow Statement</t>
  </si>
  <si>
    <t>Operating Activities</t>
  </si>
  <si>
    <t>Investing Activities</t>
  </si>
  <si>
    <t>Cash from Investing Activities</t>
  </si>
  <si>
    <t>Financing Activities</t>
  </si>
  <si>
    <t>Cash form Financing Activities</t>
  </si>
  <si>
    <t>SalesGrowth</t>
  </si>
  <si>
    <t>EBITDA Growth</t>
  </si>
  <si>
    <t>EBIT Growth</t>
  </si>
  <si>
    <t>Net Profit Growth</t>
  </si>
  <si>
    <t>Devidend Growth</t>
  </si>
  <si>
    <t>EBITDA Margin</t>
  </si>
  <si>
    <t>EBIT Margin</t>
  </si>
  <si>
    <t>EBT Margin</t>
  </si>
  <si>
    <t>Net Profit Margin</t>
  </si>
  <si>
    <t>Sales Expenses % Sales</t>
  </si>
  <si>
    <t>Depreciation % Sales</t>
  </si>
  <si>
    <t>Operating Income % Sales</t>
  </si>
  <si>
    <t>Return of Capital Employed</t>
  </si>
  <si>
    <t>Retained Earnings%</t>
  </si>
  <si>
    <t>Return on Equity</t>
  </si>
  <si>
    <t>Self Sustained Growth Rate</t>
  </si>
  <si>
    <t>Interest Coverage Ratio</t>
  </si>
  <si>
    <t>Detor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</si>
  <si>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</si>
  <si>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</si>
  <si>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</si>
  <si>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</si>
  <si>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</si>
  <si>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</si>
  <si>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</si>
  <si>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</t>
  </si>
  <si>
    <t>CFO/Sales</t>
  </si>
  <si>
    <t>CFO/Total Asset</t>
  </si>
  <si>
    <t>CFO Total Debt</t>
  </si>
  <si>
    <t>(in days)</t>
  </si>
  <si>
    <t>Cash from Operating Activities</t>
  </si>
  <si>
    <t>Mean</t>
  </si>
  <si>
    <t>Median</t>
  </si>
  <si>
    <t>Years Weight</t>
  </si>
  <si>
    <t>WACC</t>
  </si>
  <si>
    <t>Debt Weight</t>
  </si>
  <si>
    <t>Cost of Debt</t>
  </si>
  <si>
    <t>Equity Weight</t>
  </si>
  <si>
    <t>Cost of Equity</t>
  </si>
  <si>
    <t>Weighted Avarage Cost of Capital</t>
  </si>
  <si>
    <t>Debt / Equity</t>
  </si>
  <si>
    <t>Levered Beta</t>
  </si>
  <si>
    <t>Total Capital</t>
  </si>
  <si>
    <t>Tax Rate</t>
  </si>
  <si>
    <t>Target Debt / Equity</t>
  </si>
  <si>
    <t>Total Debt</t>
  </si>
  <si>
    <t>Comps Median Unlevered Beta</t>
  </si>
  <si>
    <t>Target</t>
  </si>
  <si>
    <t>Current</t>
  </si>
  <si>
    <t>Capital Stucture</t>
  </si>
  <si>
    <r>
      <t xml:space="preserve">Levered Beta </t>
    </r>
    <r>
      <rPr>
        <vertAlign val="superscript"/>
        <sz val="11"/>
        <color theme="1"/>
        <rFont val="Calibri"/>
        <family val="2"/>
      </rPr>
      <t>4</t>
    </r>
  </si>
  <si>
    <t>Post Tax Cost of Debt</t>
  </si>
  <si>
    <t>Equity Risk Premium</t>
  </si>
  <si>
    <t>Tax-Rate</t>
  </si>
  <si>
    <t>Risk Free Rate</t>
  </si>
  <si>
    <t>Pre-tax Cost of Debt</t>
  </si>
  <si>
    <t>Avarage</t>
  </si>
  <si>
    <t>India</t>
  </si>
  <si>
    <r>
      <t xml:space="preserve">Beta </t>
    </r>
    <r>
      <rPr>
        <vertAlign val="superscript"/>
        <sz val="11"/>
        <color theme="1"/>
        <rFont val="Calibri"/>
        <family val="2"/>
      </rPr>
      <t>3</t>
    </r>
  </si>
  <si>
    <r>
      <t xml:space="preserve">Beta </t>
    </r>
    <r>
      <rPr>
        <vertAlign val="superscript"/>
        <sz val="11"/>
        <color theme="1"/>
        <rFont val="Calibri"/>
        <family val="2"/>
      </rPr>
      <t>2</t>
    </r>
  </si>
  <si>
    <t>Capital</t>
  </si>
  <si>
    <t>Equity</t>
  </si>
  <si>
    <r>
      <t xml:space="preserve">Tax Rate </t>
    </r>
    <r>
      <rPr>
        <vertAlign val="superscript"/>
        <sz val="11"/>
        <color theme="1"/>
        <rFont val="Calibri"/>
        <family val="2"/>
      </rPr>
      <t>1</t>
    </r>
  </si>
  <si>
    <t>Total Equity</t>
  </si>
  <si>
    <t>Country</t>
  </si>
  <si>
    <t>Name of the Comp</t>
  </si>
  <si>
    <t>Unlevered</t>
  </si>
  <si>
    <t>Levered</t>
  </si>
  <si>
    <t>Debt /</t>
  </si>
  <si>
    <t>Peer Comps</t>
  </si>
  <si>
    <t>All figures are in INR unless stated otherwise</t>
  </si>
  <si>
    <t>Vedant Fashions</t>
  </si>
  <si>
    <t>FSN E-Commerce</t>
  </si>
  <si>
    <t>Trent</t>
  </si>
  <si>
    <t>Eternal Ltd</t>
  </si>
  <si>
    <t>Avenue Super.</t>
  </si>
  <si>
    <t>Debt / Eq</t>
  </si>
  <si>
    <t>Debt Rs.Cr.</t>
  </si>
  <si>
    <t xml:space="preserve">Mar Cap Rs.Cr. </t>
  </si>
  <si>
    <t>CMP Rs.</t>
  </si>
  <si>
    <t>Name</t>
  </si>
  <si>
    <t>S.No.</t>
  </si>
  <si>
    <t>X Variable 1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</si>
  <si>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</si>
  <si>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</si>
  <si>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</si>
  <si>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</si>
  <si>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</si>
  <si>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</si>
  <si>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</si>
  <si>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</si>
  <si>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</si>
  <si>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</si>
  <si>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</si>
  <si>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</si>
  <si>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</si>
  <si>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</si>
  <si>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</si>
  <si>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</si>
  <si>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</si>
  <si>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</si>
  <si>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Beta</t>
  </si>
  <si>
    <t>Comps</t>
  </si>
  <si>
    <t>Adjusted R Square</t>
  </si>
  <si>
    <t>R Square</t>
  </si>
  <si>
    <t>Peer Comps Beta</t>
  </si>
  <si>
    <t>Multiple R</t>
  </si>
  <si>
    <t>Regression Statistics</t>
  </si>
  <si>
    <t>SUMMARY OUTPUT</t>
  </si>
  <si>
    <t>Adjusted Beta</t>
  </si>
  <si>
    <t>Beta 3</t>
  </si>
  <si>
    <t>Market Beta Weight</t>
  </si>
  <si>
    <t>Market Beta</t>
  </si>
  <si>
    <t>Beta 2</t>
  </si>
  <si>
    <t>Beta 1</t>
  </si>
  <si>
    <t>Raw Beta Weight</t>
  </si>
  <si>
    <t>Levered Raw Data</t>
  </si>
  <si>
    <t>Return</t>
  </si>
  <si>
    <t xml:space="preserve">Closing Price </t>
  </si>
  <si>
    <t>Closing Price</t>
  </si>
  <si>
    <t>Date</t>
  </si>
  <si>
    <t>Beta Drifting</t>
  </si>
  <si>
    <t>Nifty Weekly Returns</t>
  </si>
  <si>
    <t>Avenue Supermart Weekly Returns</t>
  </si>
  <si>
    <t>Regression Beta - 2 Years Weekly</t>
  </si>
  <si>
    <t>Total Market Return</t>
  </si>
  <si>
    <r>
      <t xml:space="preserve">1.29% </t>
    </r>
    <r>
      <rPr>
        <vertAlign val="superscript"/>
        <sz val="11"/>
        <color theme="1"/>
        <rFont val="Calibri"/>
        <family val="2"/>
      </rPr>
      <t>1</t>
    </r>
  </si>
  <si>
    <t>Dividend Yield</t>
  </si>
  <si>
    <t>Average Return</t>
  </si>
  <si>
    <t>Annual</t>
  </si>
  <si>
    <t>Year</t>
  </si>
  <si>
    <t>Return on Market</t>
  </si>
  <si>
    <t>Equity Capital</t>
  </si>
  <si>
    <t>Long term Borrowings</t>
  </si>
  <si>
    <t>Short term Borrowings</t>
  </si>
  <si>
    <t>Lease Liabilities</t>
  </si>
  <si>
    <t>Other Borrowings</t>
  </si>
  <si>
    <t>Non controlling int</t>
  </si>
  <si>
    <t>Trade Payables</t>
  </si>
  <si>
    <t>Advance from Customers</t>
  </si>
  <si>
    <t>Other liability items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</si>
  <si>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</si>
  <si>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</si>
  <si>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</si>
  <si>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</si>
  <si>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</si>
  <si>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</si>
  <si>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</si>
  <si>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</si>
  <si>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</si>
  <si>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</si>
  <si>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</si>
  <si>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Inventories</t>
  </si>
  <si>
    <t>Cash Equivalents</t>
  </si>
  <si>
    <t>Loans n Advances</t>
  </si>
  <si>
    <t>Other asset items</t>
  </si>
  <si>
    <r>
      <t>Borrowings </t>
    </r>
    <r>
      <rPr>
        <sz val="11"/>
        <color rgb="FF665EFD"/>
        <rFont val="Calibri"/>
        <family val="2"/>
      </rPr>
      <t>-</t>
    </r>
  </si>
  <si>
    <r>
      <t>Other Liabilities </t>
    </r>
    <r>
      <rPr>
        <sz val="11"/>
        <color rgb="FF665EFD"/>
        <rFont val="Calibri"/>
        <family val="2"/>
      </rPr>
      <t>-</t>
    </r>
  </si>
  <si>
    <r>
      <t>Fixed Assets </t>
    </r>
    <r>
      <rPr>
        <sz val="11"/>
        <color rgb="FF665EFD"/>
        <rFont val="Calibri"/>
        <family val="2"/>
      </rPr>
      <t>-</t>
    </r>
  </si>
  <si>
    <r>
      <t>Other Assets </t>
    </r>
    <r>
      <rPr>
        <sz val="11"/>
        <color rgb="FF665EFD"/>
        <rFont val="Calibri"/>
        <family val="2"/>
      </rPr>
      <t>-</t>
    </r>
  </si>
  <si>
    <r>
      <t>Trade receivables </t>
    </r>
    <r>
      <rPr>
        <sz val="11"/>
        <color rgb="FF665EFD"/>
        <rFont val="Calibri"/>
        <family val="2"/>
      </rPr>
      <t>+</t>
    </r>
  </si>
  <si>
    <t>Particulars</t>
  </si>
  <si>
    <t>Calculation of ROIC</t>
  </si>
  <si>
    <t>Current Assets</t>
  </si>
  <si>
    <t>Current Liabilities</t>
  </si>
  <si>
    <t>Net Working Capital</t>
  </si>
  <si>
    <t>Non Current Assets</t>
  </si>
  <si>
    <t>Net Non Current Assets</t>
  </si>
  <si>
    <t>Invested Capital</t>
  </si>
  <si>
    <t>EBIT</t>
  </si>
  <si>
    <t>ROIC</t>
  </si>
  <si>
    <t>Net Capex</t>
  </si>
  <si>
    <r>
      <t>Cash from Operating Activity </t>
    </r>
    <r>
      <rPr>
        <sz val="11"/>
        <color rgb="FF665EFD"/>
        <rFont val="Arial"/>
        <family val="2"/>
      </rPr>
      <t>-</t>
    </r>
  </si>
  <si>
    <r>
      <t>Cash from Investing Activity </t>
    </r>
    <r>
      <rPr>
        <sz val="11"/>
        <color rgb="FF665EFD"/>
        <rFont val="Arial"/>
        <family val="2"/>
      </rPr>
      <t>-</t>
    </r>
  </si>
  <si>
    <r>
      <t>Cash from Financing Activity </t>
    </r>
    <r>
      <rPr>
        <sz val="11"/>
        <color rgb="FF665EFD"/>
        <rFont val="Arial"/>
        <family val="2"/>
      </rPr>
      <t>-</t>
    </r>
  </si>
  <si>
    <t>Change in Working Capital</t>
  </si>
  <si>
    <t>Marginal Tax Rate</t>
  </si>
  <si>
    <t>EBIT(1-T)</t>
  </si>
  <si>
    <t>Reinvestment</t>
  </si>
  <si>
    <t>Reinvestment Rate</t>
  </si>
  <si>
    <t>4 Year Average</t>
  </si>
  <si>
    <t>4 Year Median</t>
  </si>
  <si>
    <t>Calculation of Growth Rate</t>
  </si>
  <si>
    <t>Intrinsic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</si>
</sst>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[$₹-4009]\ #,##0.00;[$₹-4009]\ \-#,##0.00"/>
    <numFmt numFmtId="167" formatCode="\₹#,##0.00;\(\₹#,##0.00\);\-"/>
    <numFmt numFmtId="168" formatCode="0.00\x"/>
    <numFmt numFmtId="169" formatCode="yyyy&quot;A&quot;"/>
    <numFmt numFmtId="170" formatCode="yyyy&quot;E&quot;"/>
    <numFmt numFmtId="171" formatCode="#,##0.0_);\(#,##0.0\)"/>
    <numFmt numFmtId="172" formatCode="#,##0.0_);\(#,##0.0\);\-"/>
  </numFmts>
  <fonts count="2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2" tint="-0.499984740745262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vertAlign val="superscript"/>
      <sz val="11"/>
      <color theme="1"/>
      <name val="Calibri"/>
      <family val="2"/>
    </font>
    <font>
      <sz val="11"/>
      <color rgb="FF3333FF"/>
      <name val="Calibri"/>
      <family val="2"/>
    </font>
    <font>
      <i/>
      <sz val="10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1"/>
      <name val="Calibri"/>
      <family val="2"/>
    </font>
    <font>
      <sz val="11"/>
      <color rgb="FF22222F"/>
      <name val="Calibri"/>
      <family val="2"/>
    </font>
    <font>
      <sz val="11"/>
      <color rgb="FF22222F"/>
      <name val="Calibri"/>
      <family val="2"/>
    </font>
    <font>
      <sz val="11"/>
      <color rgb="FF665EFD"/>
      <name val="Calibri"/>
      <family val="2"/>
    </font>
    <font>
      <b/>
      <sz val="11"/>
      <color rgb="FF22222F"/>
      <name val="Calibri"/>
      <family val="2"/>
    </font>
    <font>
      <sz val="11"/>
      <color rgb="FF665EFD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6C9EC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8F8FC"/>
        <bgColor indexed="64"/>
      </patternFill>
    </fill>
  </fills>
  <borders count="14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2060"/>
      </bottom>
      <diagonal/>
    </border>
    <border>
      <left/>
      <right/>
      <top style="medium">
        <color rgb="FFDBE4F0"/>
      </top>
      <bottom/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7" fillId="2" borderId="0" applyNumberFormat="0" applyBorder="0" applyAlignment="0" applyProtection="0"/>
    <xf numFmtId="0" fontId="5" fillId="0" borderId="0"/>
  </cellStyleXfs>
  <cellXfs count="159">
    <xf numFmtId="0" fontId="0" fillId="0" borderId="0" xfId="0"/>
    <xf numFmtId="164" fontId="6" fillId="0" borderId="0" xfId="2" applyFont="1" applyBorder="1"/>
    <xf numFmtId="164" fontId="0" fillId="0" borderId="0" xfId="2" applyFont="1" applyBorder="1"/>
    <xf numFmtId="0" fontId="5" fillId="0" borderId="0" xfId="5"/>
    <xf numFmtId="165" fontId="8" fillId="3" borderId="0" xfId="2" applyNumberFormat="1" applyFont="1" applyFill="1" applyBorder="1"/>
    <xf numFmtId="165" fontId="8" fillId="3" borderId="0" xfId="5" applyNumberFormat="1" applyFont="1" applyFill="1" applyAlignment="1">
      <alignment horizontal="center"/>
    </xf>
    <xf numFmtId="165" fontId="9" fillId="0" borderId="0" xfId="2" applyNumberFormat="1" applyFont="1" applyFill="1" applyBorder="1"/>
    <xf numFmtId="164" fontId="5" fillId="0" borderId="0" xfId="2" applyFont="1" applyBorder="1"/>
    <xf numFmtId="43" fontId="0" fillId="0" borderId="0" xfId="2" applyNumberFormat="1" applyFont="1" applyBorder="1"/>
    <xf numFmtId="0" fontId="2" fillId="4" borderId="0" xfId="0" applyFont="1" applyFill="1"/>
    <xf numFmtId="166" fontId="0" fillId="0" borderId="0" xfId="0" applyNumberFormat="1"/>
    <xf numFmtId="0" fontId="10" fillId="0" borderId="0" xfId="0" applyFont="1"/>
    <xf numFmtId="0" fontId="10" fillId="0" borderId="0" xfId="0" applyFont="1" applyAlignment="1">
      <alignment horizontal="right"/>
    </xf>
    <xf numFmtId="10" fontId="10" fillId="0" borderId="0" xfId="1" applyNumberFormat="1" applyFont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17" fontId="2" fillId="6" borderId="0" xfId="0" applyNumberFormat="1" applyFont="1" applyFill="1"/>
    <xf numFmtId="17" fontId="2" fillId="6" borderId="0" xfId="0" applyNumberFormat="1" applyFont="1" applyFill="1" applyAlignment="1">
      <alignment horizontal="right"/>
    </xf>
    <xf numFmtId="167" fontId="0" fillId="0" borderId="0" xfId="0" applyNumberFormat="1"/>
    <xf numFmtId="10" fontId="0" fillId="0" borderId="0" xfId="1" applyNumberFormat="1" applyFont="1"/>
    <xf numFmtId="0" fontId="3" fillId="0" borderId="0" xfId="0" applyFont="1"/>
    <xf numFmtId="0" fontId="11" fillId="0" borderId="0" xfId="0" applyFont="1"/>
    <xf numFmtId="0" fontId="12" fillId="0" borderId="0" xfId="0" applyFont="1"/>
    <xf numFmtId="17" fontId="0" fillId="0" borderId="0" xfId="0" applyNumberFormat="1"/>
    <xf numFmtId="3" fontId="0" fillId="0" borderId="0" xfId="0" applyNumberFormat="1"/>
    <xf numFmtId="0" fontId="13" fillId="7" borderId="0" xfId="0" applyFont="1" applyFill="1"/>
    <xf numFmtId="0" fontId="14" fillId="7" borderId="0" xfId="0" applyFont="1" applyFill="1"/>
    <xf numFmtId="0" fontId="3" fillId="0" borderId="1" xfId="0" applyFont="1" applyBorder="1"/>
    <xf numFmtId="166" fontId="3" fillId="0" borderId="1" xfId="0" applyNumberFormat="1" applyFont="1" applyBorder="1"/>
    <xf numFmtId="167" fontId="3" fillId="0" borderId="1" xfId="0" applyNumberFormat="1" applyFont="1" applyBorder="1"/>
    <xf numFmtId="168" fontId="0" fillId="0" borderId="0" xfId="0" applyNumberFormat="1"/>
    <xf numFmtId="0" fontId="0" fillId="0" borderId="2" xfId="0" applyBorder="1"/>
    <xf numFmtId="10" fontId="0" fillId="0" borderId="2" xfId="1" applyNumberFormat="1" applyFont="1" applyBorder="1"/>
    <xf numFmtId="10" fontId="0" fillId="0" borderId="0" xfId="1" applyNumberFormat="1" applyFont="1" applyBorder="1"/>
    <xf numFmtId="0" fontId="0" fillId="0" borderId="3" xfId="0" applyBorder="1"/>
    <xf numFmtId="10" fontId="0" fillId="0" borderId="3" xfId="1" applyNumberFormat="1" applyFont="1" applyBorder="1"/>
    <xf numFmtId="10" fontId="0" fillId="0" borderId="3" xfId="0" applyNumberFormat="1" applyBorder="1"/>
    <xf numFmtId="168" fontId="0" fillId="0" borderId="3" xfId="0" applyNumberFormat="1" applyBorder="1"/>
    <xf numFmtId="168" fontId="0" fillId="0" borderId="2" xfId="0" applyNumberFormat="1" applyBorder="1"/>
    <xf numFmtId="0" fontId="11" fillId="0" borderId="2" xfId="0" applyFont="1" applyBorder="1"/>
    <xf numFmtId="1" fontId="0" fillId="0" borderId="0" xfId="0" applyNumberFormat="1"/>
    <xf numFmtId="1" fontId="0" fillId="0" borderId="3" xfId="0" applyNumberFormat="1" applyBorder="1"/>
    <xf numFmtId="1" fontId="0" fillId="0" borderId="2" xfId="0" applyNumberFormat="1" applyBorder="1"/>
    <xf numFmtId="0" fontId="0" fillId="0" borderId="0" xfId="0" applyAlignment="1">
      <alignment horizontal="left"/>
    </xf>
    <xf numFmtId="169" fontId="0" fillId="0" borderId="0" xfId="0" applyNumberFormat="1"/>
    <xf numFmtId="170" fontId="0" fillId="0" borderId="0" xfId="0" applyNumberFormat="1"/>
    <xf numFmtId="0" fontId="2" fillId="4" borderId="0" xfId="0" applyFont="1" applyFill="1" applyAlignment="1">
      <alignment horizontal="right"/>
    </xf>
    <xf numFmtId="4" fontId="0" fillId="0" borderId="0" xfId="0" applyNumberFormat="1"/>
    <xf numFmtId="0" fontId="0" fillId="8" borderId="0" xfId="0" applyFill="1" applyAlignment="1">
      <alignment horizontal="left"/>
    </xf>
    <xf numFmtId="170" fontId="0" fillId="8" borderId="0" xfId="0" applyNumberFormat="1" applyFill="1"/>
    <xf numFmtId="10" fontId="0" fillId="8" borderId="0" xfId="1" applyNumberFormat="1" applyFont="1" applyFill="1"/>
    <xf numFmtId="4" fontId="0" fillId="8" borderId="0" xfId="0" applyNumberFormat="1" applyFill="1"/>
    <xf numFmtId="10" fontId="16" fillId="9" borderId="0" xfId="0" applyNumberFormat="1" applyFont="1" applyFill="1"/>
    <xf numFmtId="0" fontId="0" fillId="9" borderId="0" xfId="0" applyFill="1"/>
    <xf numFmtId="10" fontId="16" fillId="0" borderId="0" xfId="0" applyNumberFormat="1" applyFont="1"/>
    <xf numFmtId="0" fontId="3" fillId="0" borderId="4" xfId="0" applyFont="1" applyBorder="1"/>
    <xf numFmtId="2" fontId="16" fillId="9" borderId="2" xfId="0" applyNumberFormat="1" applyFont="1" applyFill="1" applyBorder="1"/>
    <xf numFmtId="10" fontId="16" fillId="0" borderId="2" xfId="0" applyNumberFormat="1" applyFont="1" applyBorder="1"/>
    <xf numFmtId="10" fontId="16" fillId="0" borderId="2" xfId="1" applyNumberFormat="1" applyFont="1" applyBorder="1"/>
    <xf numFmtId="171" fontId="16" fillId="0" borderId="2" xfId="0" applyNumberFormat="1" applyFont="1" applyBorder="1"/>
    <xf numFmtId="10" fontId="16" fillId="0" borderId="0" xfId="1" applyNumberFormat="1" applyFont="1"/>
    <xf numFmtId="171" fontId="16" fillId="0" borderId="0" xfId="0" applyNumberFormat="1" applyFont="1"/>
    <xf numFmtId="2" fontId="16" fillId="0" borderId="0" xfId="0" applyNumberFormat="1" applyFont="1"/>
    <xf numFmtId="0" fontId="3" fillId="0" borderId="4" xfId="0" applyFont="1" applyBorder="1" applyAlignment="1">
      <alignment horizontal="right"/>
    </xf>
    <xf numFmtId="2" fontId="16" fillId="0" borderId="3" xfId="0" applyNumberFormat="1" applyFont="1" applyBorder="1"/>
    <xf numFmtId="10" fontId="16" fillId="9" borderId="2" xfId="0" applyNumberFormat="1" applyFont="1" applyFill="1" applyBorder="1"/>
    <xf numFmtId="10" fontId="18" fillId="0" borderId="0" xfId="0" applyNumberFormat="1" applyFont="1"/>
    <xf numFmtId="0" fontId="0" fillId="0" borderId="4" xfId="0" applyBorder="1"/>
    <xf numFmtId="2" fontId="16" fillId="0" borderId="4" xfId="0" applyNumberFormat="1" applyFont="1" applyBorder="1"/>
    <xf numFmtId="10" fontId="16" fillId="0" borderId="4" xfId="1" applyNumberFormat="1" applyFont="1" applyBorder="1"/>
    <xf numFmtId="10" fontId="16" fillId="0" borderId="4" xfId="0" applyNumberFormat="1" applyFont="1" applyBorder="1"/>
    <xf numFmtId="2" fontId="16" fillId="0" borderId="5" xfId="0" applyNumberFormat="1" applyFont="1" applyBorder="1"/>
    <xf numFmtId="10" fontId="16" fillId="0" borderId="5" xfId="1" applyNumberFormat="1" applyFont="1" applyBorder="1"/>
    <xf numFmtId="10" fontId="16" fillId="0" borderId="5" xfId="0" applyNumberFormat="1" applyFont="1" applyBorder="1"/>
    <xf numFmtId="0" fontId="3" fillId="0" borderId="5" xfId="0" applyFont="1" applyBorder="1"/>
    <xf numFmtId="2" fontId="16" fillId="9" borderId="0" xfId="0" applyNumberFormat="1" applyFont="1" applyFill="1"/>
    <xf numFmtId="10" fontId="16" fillId="9" borderId="0" xfId="1" applyNumberFormat="1" applyFont="1" applyFill="1"/>
    <xf numFmtId="10" fontId="18" fillId="0" borderId="0" xfId="1" applyNumberFormat="1" applyFont="1"/>
    <xf numFmtId="0" fontId="18" fillId="0" borderId="0" xfId="0" applyFont="1"/>
    <xf numFmtId="0" fontId="16" fillId="0" borderId="0" xfId="0" applyFont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/>
    <xf numFmtId="0" fontId="19" fillId="0" borderId="0" xfId="0" applyFont="1"/>
    <xf numFmtId="0" fontId="20" fillId="5" borderId="0" xfId="0" applyFont="1" applyFill="1"/>
    <xf numFmtId="0" fontId="21" fillId="5" borderId="0" xfId="0" applyFont="1" applyFill="1"/>
    <xf numFmtId="0" fontId="0" fillId="10" borderId="0" xfId="0" applyFill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0" fillId="0" borderId="6" xfId="0" applyBorder="1"/>
    <xf numFmtId="0" fontId="12" fillId="0" borderId="7" xfId="0" applyFont="1" applyBorder="1" applyAlignment="1">
      <alignment horizontal="center"/>
    </xf>
    <xf numFmtId="2" fontId="0" fillId="0" borderId="0" xfId="0" applyNumberFormat="1"/>
    <xf numFmtId="10" fontId="0" fillId="0" borderId="0" xfId="0" applyNumberFormat="1"/>
    <xf numFmtId="2" fontId="0" fillId="0" borderId="0" xfId="1" applyNumberFormat="1" applyFont="1"/>
    <xf numFmtId="0" fontId="16" fillId="6" borderId="0" xfId="0" applyFont="1" applyFill="1" applyAlignment="1">
      <alignment horizontal="right"/>
    </xf>
    <xf numFmtId="0" fontId="22" fillId="6" borderId="8" xfId="0" applyFont="1" applyFill="1" applyBorder="1" applyAlignment="1">
      <alignment horizontal="right"/>
    </xf>
    <xf numFmtId="0" fontId="22" fillId="6" borderId="8" xfId="0" applyFont="1" applyFill="1" applyBorder="1" applyAlignment="1">
      <alignment horizontal="left"/>
    </xf>
    <xf numFmtId="0" fontId="15" fillId="6" borderId="0" xfId="0" applyFont="1" applyFill="1"/>
    <xf numFmtId="10" fontId="0" fillId="0" borderId="0" xfId="1" applyNumberFormat="1" applyFont="1" applyAlignment="1">
      <alignment horizontal="right"/>
    </xf>
    <xf numFmtId="10" fontId="3" fillId="0" borderId="0" xfId="0" applyNumberFormat="1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3" fillId="13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left" vertical="center" indent="2"/>
    </xf>
    <xf numFmtId="0" fontId="24" fillId="6" borderId="9" xfId="0" applyFont="1" applyFill="1" applyBorder="1" applyAlignment="1">
      <alignment horizontal="left" vertical="center" indent="2"/>
    </xf>
    <xf numFmtId="0" fontId="23" fillId="6" borderId="0" xfId="0" applyFont="1" applyFill="1" applyAlignment="1">
      <alignment horizontal="left" vertical="center"/>
    </xf>
    <xf numFmtId="0" fontId="24" fillId="6" borderId="9" xfId="0" applyFont="1" applyFill="1" applyBorder="1" applyAlignment="1">
      <alignment horizontal="left" vertical="center"/>
    </xf>
    <xf numFmtId="0" fontId="2" fillId="12" borderId="0" xfId="0" applyFont="1" applyFill="1"/>
    <xf numFmtId="0" fontId="26" fillId="6" borderId="0" xfId="0" applyFont="1" applyFill="1" applyAlignment="1">
      <alignment horizontal="left" vertical="center"/>
    </xf>
    <xf numFmtId="0" fontId="26" fillId="6" borderId="0" xfId="0" applyFont="1" applyFill="1" applyAlignment="1">
      <alignment horizontal="left" vertical="center" indent="2"/>
    </xf>
    <xf numFmtId="0" fontId="26" fillId="6" borderId="8" xfId="0" applyFont="1" applyFill="1" applyBorder="1" applyAlignment="1">
      <alignment horizontal="left" vertical="center"/>
    </xf>
    <xf numFmtId="0" fontId="23" fillId="6" borderId="8" xfId="0" applyFont="1" applyFill="1" applyBorder="1" applyAlignment="1">
      <alignment horizontal="left" vertical="center"/>
    </xf>
    <xf numFmtId="0" fontId="24" fillId="6" borderId="10" xfId="0" applyFont="1" applyFill="1" applyBorder="1" applyAlignment="1">
      <alignment horizontal="left" vertical="center" indent="2"/>
    </xf>
    <xf numFmtId="172" fontId="23" fillId="13" borderId="0" xfId="0" applyNumberFormat="1" applyFont="1" applyFill="1" applyAlignment="1">
      <alignment horizontal="right" vertical="center" wrapText="1"/>
    </xf>
    <xf numFmtId="172" fontId="23" fillId="6" borderId="0" xfId="0" applyNumberFormat="1" applyFont="1" applyFill="1" applyAlignment="1">
      <alignment horizontal="right" vertical="center" wrapText="1"/>
    </xf>
    <xf numFmtId="172" fontId="24" fillId="6" borderId="9" xfId="0" applyNumberFormat="1" applyFont="1" applyFill="1" applyBorder="1" applyAlignment="1">
      <alignment horizontal="right" vertical="center" wrapText="1"/>
    </xf>
    <xf numFmtId="172" fontId="26" fillId="6" borderId="8" xfId="0" applyNumberFormat="1" applyFont="1" applyFill="1" applyBorder="1" applyAlignment="1">
      <alignment horizontal="right" vertical="center" wrapText="1"/>
    </xf>
    <xf numFmtId="172" fontId="26" fillId="6" borderId="0" xfId="0" applyNumberFormat="1" applyFont="1" applyFill="1" applyAlignment="1">
      <alignment horizontal="right" vertical="center" wrapText="1"/>
    </xf>
    <xf numFmtId="172" fontId="23" fillId="6" borderId="8" xfId="0" applyNumberFormat="1" applyFont="1" applyFill="1" applyBorder="1" applyAlignment="1">
      <alignment horizontal="right" vertical="center" wrapText="1"/>
    </xf>
    <xf numFmtId="172" fontId="24" fillId="6" borderId="10" xfId="0" applyNumberFormat="1" applyFont="1" applyFill="1" applyBorder="1" applyAlignment="1">
      <alignment horizontal="right" vertical="center" wrapText="1"/>
    </xf>
    <xf numFmtId="0" fontId="15" fillId="12" borderId="0" xfId="0" applyFont="1" applyFill="1"/>
    <xf numFmtId="17" fontId="2" fillId="12" borderId="0" xfId="0" applyNumberFormat="1" applyFont="1" applyFill="1"/>
    <xf numFmtId="0" fontId="0" fillId="0" borderId="11" xfId="0" applyBorder="1"/>
    <xf numFmtId="0" fontId="3" fillId="0" borderId="12" xfId="0" applyFont="1" applyBorder="1"/>
    <xf numFmtId="0" fontId="0" fillId="0" borderId="12" xfId="0" applyBorder="1"/>
    <xf numFmtId="10" fontId="3" fillId="0" borderId="12" xfId="1" applyNumberFormat="1" applyFont="1" applyBorder="1"/>
    <xf numFmtId="10" fontId="0" fillId="0" borderId="12" xfId="1" applyNumberFormat="1" applyFont="1" applyBorder="1"/>
    <xf numFmtId="17" fontId="2" fillId="12" borderId="0" xfId="0" applyNumberFormat="1" applyFont="1" applyFill="1" applyAlignment="1">
      <alignment horizontal="right" vertical="center" wrapText="1"/>
    </xf>
    <xf numFmtId="172" fontId="0" fillId="0" borderId="11" xfId="0" applyNumberFormat="1" applyBorder="1"/>
    <xf numFmtId="172" fontId="0" fillId="0" borderId="0" xfId="0" applyNumberFormat="1"/>
    <xf numFmtId="172" fontId="3" fillId="0" borderId="5" xfId="0" applyNumberFormat="1" applyFont="1" applyBorder="1"/>
    <xf numFmtId="172" fontId="3" fillId="0" borderId="12" xfId="0" applyNumberFormat="1" applyFont="1" applyBorder="1"/>
    <xf numFmtId="172" fontId="3" fillId="0" borderId="0" xfId="0" applyNumberFormat="1" applyFont="1"/>
    <xf numFmtId="0" fontId="0" fillId="0" borderId="1" xfId="0" applyBorder="1"/>
    <xf numFmtId="172" fontId="0" fillId="0" borderId="1" xfId="0" applyNumberFormat="1" applyBorder="1"/>
    <xf numFmtId="9" fontId="18" fillId="0" borderId="1" xfId="0" applyNumberFormat="1" applyFont="1" applyBorder="1"/>
    <xf numFmtId="0" fontId="3" fillId="0" borderId="13" xfId="0" applyFont="1" applyBorder="1"/>
    <xf numFmtId="10" fontId="3" fillId="0" borderId="13" xfId="1" applyNumberFormat="1" applyFont="1" applyBorder="1"/>
    <xf numFmtId="0" fontId="3" fillId="8" borderId="0" xfId="0" applyFont="1" applyFill="1"/>
    <xf numFmtId="10" fontId="3" fillId="8" borderId="0" xfId="0" applyNumberFormat="1" applyFont="1" applyFill="1"/>
    <xf numFmtId="10" fontId="0" fillId="0" borderId="1" xfId="0" applyNumberFormat="1" applyBorder="1"/>
    <xf numFmtId="10" fontId="3" fillId="0" borderId="13" xfId="0" applyNumberFormat="1" applyFont="1" applyBorder="1"/>
    <xf numFmtId="166" fontId="3" fillId="0" borderId="0" xfId="0" applyNumberFormat="1" applyFont="1"/>
    <xf numFmtId="10" fontId="10" fillId="0" borderId="0" xfId="1" applyNumberFormat="1" applyFont="1" applyBorder="1"/>
    <xf numFmtId="167" fontId="3" fillId="0" borderId="0" xfId="0" applyNumberFormat="1" applyFont="1"/>
    <xf numFmtId="0" fontId="13" fillId="6" borderId="0" xfId="0" applyFont="1" applyFill="1"/>
    <xf numFmtId="17" fontId="2" fillId="12" borderId="0" xfId="0" applyNumberFormat="1" applyFont="1" applyFill="1" applyAlignment="1">
      <alignment horizontal="right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4" fillId="0" borderId="0" xfId="3" applyNumberFormat="1" applyBorder="1" applyAlignment="1" applyProtection="1">
      <alignment horizontal="center"/>
    </xf>
    <xf numFmtId="164" fontId="8" fillId="2" borderId="0" xfId="4" applyNumberFormat="1" applyFont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2" borderId="0" xfId="0" applyFont="1" applyFill="1" applyBorder="1"/>
    <xf numFmtId="17" fontId="2" fillId="12" borderId="0" xfId="0" applyNumberFormat="1" applyFont="1" applyFill="1" applyBorder="1"/>
  </cellXfs>
  <cellStyles count="6">
    <cellStyle name="Accent6 2" xfId="4" xr:uid="{16D216E1-5F97-4AA3-B394-C8614A321010}"/>
    <cellStyle name="Comma 2" xfId="2" xr:uid="{2C32806A-12C8-4818-8100-36E63CE840C9}"/>
    <cellStyle name="Hyperlink 2" xfId="3" xr:uid="{A5CCA5AA-DD54-40CC-BE86-5C0A2B083AF0}"/>
    <cellStyle name="Normal" xfId="0" builtinId="0"/>
    <cellStyle name="Normal 2" xfId="5" xr:uid="{D74003CA-90E3-4C42-A52E-94A83A17F532}"/>
    <cellStyle name="Percent" xfId="1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5288-949E-4466-A656-3E88441A2B49}">
  <sheetPr>
    <tabColor rgb="FF002060"/>
  </sheetPr>
  <dimension ref="A1"/>
  <sheetViews>
    <sheetView workbookViewId="0">
      <selection activeCell="H30" sqref="H3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E8CD-59DF-4ADC-B304-0AFCD2D1CB00}">
  <dimension ref="A1:K47"/>
  <sheetViews>
    <sheetView showGridLines="0" zoomScale="122" zoomScaleNormal="122" workbookViewId="0">
      <pane ySplit="4" topLeftCell="A26" activePane="bottomLeft" state="frozen"/>
      <selection pane="bottomLeft"/>
    </sheetView>
  </sheetViews>
  <sheetFormatPr defaultRowHeight="14.4" x14ac:dyDescent="0.3"/>
  <cols>
    <col min="1" max="1" width="1.88671875" customWidth="1"/>
    <col min="2" max="2" width="16.5546875" bestFit="1" customWidth="1"/>
    <col min="3" max="3" width="16.77734375" customWidth="1"/>
    <col min="4" max="4" width="8" bestFit="1" customWidth="1"/>
    <col min="5" max="5" width="11.88671875" customWidth="1"/>
    <col min="6" max="6" width="13.21875" customWidth="1"/>
    <col min="7" max="7" width="12.109375" customWidth="1"/>
    <col min="8" max="8" width="9.6640625" customWidth="1"/>
    <col min="9" max="9" width="10.6640625" customWidth="1"/>
    <col min="10" max="10" width="10.21875" customWidth="1"/>
    <col min="11" max="11" width="20.21875" bestFit="1" customWidth="1"/>
    <col min="12" max="12" width="13.6640625" customWidth="1"/>
  </cols>
  <sheetData>
    <row r="1" spans="1:11" x14ac:dyDescent="0.3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1:11" x14ac:dyDescent="0.3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</row>
    <row r="3" spans="1:1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</row>
    <row r="4" spans="1:11" x14ac:dyDescent="0.3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</row>
    <row r="6" spans="1:11" ht="18" x14ac:dyDescent="0.35">
      <c r="B6" s="87" t="s">
        <v>160</v>
      </c>
      <c r="C6" s="86"/>
      <c r="D6" s="86"/>
      <c r="E6" s="86"/>
      <c r="F6" s="15"/>
      <c r="G6" s="15"/>
      <c r="H6" s="15"/>
      <c r="I6" s="15"/>
      <c r="J6" s="15"/>
      <c r="K6" s="15"/>
    </row>
    <row r="8" spans="1:11" x14ac:dyDescent="0.3">
      <c r="B8" s="85" t="s">
        <v>191</v>
      </c>
    </row>
    <row r="10" spans="1:11" x14ac:dyDescent="0.3">
      <c r="B10" s="22" t="s">
        <v>190</v>
      </c>
    </row>
    <row r="11" spans="1:11" x14ac:dyDescent="0.3">
      <c r="B11" s="84"/>
      <c r="C11" s="84"/>
      <c r="D11" s="84"/>
      <c r="E11" s="84"/>
      <c r="F11" s="84"/>
      <c r="G11" s="83"/>
      <c r="H11" s="83" t="s">
        <v>189</v>
      </c>
      <c r="I11" s="83" t="s">
        <v>189</v>
      </c>
      <c r="J11" s="83" t="s">
        <v>188</v>
      </c>
      <c r="K11" s="83" t="s">
        <v>187</v>
      </c>
    </row>
    <row r="12" spans="1:11" ht="16.2" x14ac:dyDescent="0.3">
      <c r="B12" s="69" t="s">
        <v>186</v>
      </c>
      <c r="C12" s="69"/>
      <c r="D12" s="69" t="s">
        <v>185</v>
      </c>
      <c r="E12" s="82" t="s">
        <v>166</v>
      </c>
      <c r="F12" s="82" t="s">
        <v>184</v>
      </c>
      <c r="G12" s="82" t="s">
        <v>183</v>
      </c>
      <c r="H12" s="82" t="s">
        <v>182</v>
      </c>
      <c r="I12" s="82" t="s">
        <v>181</v>
      </c>
      <c r="J12" s="82" t="s">
        <v>180</v>
      </c>
      <c r="K12" s="82" t="s">
        <v>179</v>
      </c>
    </row>
    <row r="14" spans="1:11" x14ac:dyDescent="0.3">
      <c r="B14" s="81" t="str">
        <f>'Beta Comps'!C7</f>
        <v>Avenue Super.</v>
      </c>
      <c r="C14" s="80"/>
      <c r="D14" s="80" t="s">
        <v>178</v>
      </c>
      <c r="E14" s="63">
        <f>'Beta Comps'!F7</f>
        <v>819.62</v>
      </c>
      <c r="F14" s="63">
        <f>'Beta Comps'!E7</f>
        <v>280693.71000000002</v>
      </c>
      <c r="G14" s="79">
        <v>0.3</v>
      </c>
      <c r="H14" s="78">
        <f>E14/F14</f>
        <v>2.9199799311498643E-3</v>
      </c>
      <c r="I14" s="78">
        <f>E14/(E14+F14)</f>
        <v>2.9114784724403636E-3</v>
      </c>
      <c r="J14" s="64">
        <f>'Beta-Regression'!M14</f>
        <v>1.0531677334647152</v>
      </c>
      <c r="K14" s="77">
        <f>J14/(1+(1-G14)*H14)</f>
        <v>1.0510194644443174</v>
      </c>
    </row>
    <row r="15" spans="1:11" x14ac:dyDescent="0.3">
      <c r="B15" s="81" t="str">
        <f>'Beta Comps'!C8</f>
        <v>Eternal Ltd</v>
      </c>
      <c r="C15" s="80"/>
      <c r="D15" s="80" t="s">
        <v>178</v>
      </c>
      <c r="E15" s="63">
        <f>'Beta Comps'!F8</f>
        <v>2045</v>
      </c>
      <c r="F15" s="63">
        <f>'Beta Comps'!E8</f>
        <v>252704.08</v>
      </c>
      <c r="G15" s="79">
        <v>0.3</v>
      </c>
      <c r="H15" s="78">
        <f>E15/F15</f>
        <v>8.0924692628627139E-3</v>
      </c>
      <c r="I15" s="78">
        <f>E15/(E15+F15)</f>
        <v>8.0275069099366332E-3</v>
      </c>
      <c r="J15" s="64">
        <f>'Beta-Regression'!J23</f>
        <v>1.27</v>
      </c>
      <c r="K15" s="77">
        <f>J15/(1+(1-G15)*H15)</f>
        <v>1.2628463184887373</v>
      </c>
    </row>
    <row r="16" spans="1:11" x14ac:dyDescent="0.3">
      <c r="B16" s="81" t="str">
        <f>'Beta Comps'!C9</f>
        <v>Trent</v>
      </c>
      <c r="C16" s="80"/>
      <c r="D16" s="80" t="s">
        <v>178</v>
      </c>
      <c r="E16" s="63">
        <f>'Beta Comps'!F9</f>
        <v>2237.19</v>
      </c>
      <c r="F16" s="63">
        <f>'Beta Comps'!E9</f>
        <v>213985.68</v>
      </c>
      <c r="G16" s="79">
        <v>0.3</v>
      </c>
      <c r="H16" s="78">
        <f>E16/F16</f>
        <v>1.0454858474641854E-2</v>
      </c>
      <c r="I16" s="78">
        <f>E16/(E16+F16)</f>
        <v>1.0346685343691904E-2</v>
      </c>
      <c r="J16" s="64">
        <f>'Beta-Regression'!J24</f>
        <v>1.23</v>
      </c>
      <c r="K16" s="77">
        <f>J16/(1+(1-G16)*H16)</f>
        <v>1.2210637657980477</v>
      </c>
    </row>
    <row r="17" spans="2:11" x14ac:dyDescent="0.3">
      <c r="B17" s="81" t="str">
        <f>'Beta Comps'!C10</f>
        <v>FSN E-Commerce</v>
      </c>
      <c r="C17" s="80"/>
      <c r="D17" s="80" t="s">
        <v>178</v>
      </c>
      <c r="E17" s="63">
        <f>'Beta Comps'!F10</f>
        <v>1320.59</v>
      </c>
      <c r="F17" s="63">
        <f>'Beta Comps'!E10</f>
        <v>60013.58</v>
      </c>
      <c r="G17" s="79">
        <v>0.3</v>
      </c>
      <c r="H17" s="78">
        <f>E17/F17</f>
        <v>2.2004852901626598E-2</v>
      </c>
      <c r="I17" s="78">
        <f>E17/(E17+F17)</f>
        <v>2.1531064983841795E-2</v>
      </c>
      <c r="J17" s="64">
        <f>'Beta-Regression'!J25</f>
        <v>1.01</v>
      </c>
      <c r="K17" s="77">
        <f>J17/(1+(1-G17)*H17)</f>
        <v>0.99467857105172464</v>
      </c>
    </row>
    <row r="18" spans="2:11" x14ac:dyDescent="0.3">
      <c r="B18" s="81" t="str">
        <f>'Beta Comps'!C11</f>
        <v>Vedant Fashions</v>
      </c>
      <c r="C18" s="80"/>
      <c r="D18" s="80" t="s">
        <v>178</v>
      </c>
      <c r="E18" s="63">
        <f>'Beta Comps'!F11</f>
        <v>482.9</v>
      </c>
      <c r="F18" s="63">
        <f>'Beta Comps'!E11</f>
        <v>19534.349999999999</v>
      </c>
      <c r="G18" s="79">
        <v>0.3</v>
      </c>
      <c r="H18" s="78">
        <f>E18/F18</f>
        <v>2.4720556353295606E-2</v>
      </c>
      <c r="I18" s="78">
        <f>E18/(E18+F18)</f>
        <v>2.412419288363786E-2</v>
      </c>
      <c r="J18" s="64">
        <f>'Beta-Regression'!J26</f>
        <v>0.70699999999999996</v>
      </c>
      <c r="K18" s="77">
        <f>J18/(1+(1-G18)*H18)</f>
        <v>0.69497390096203882</v>
      </c>
    </row>
    <row r="20" spans="2:11" x14ac:dyDescent="0.3">
      <c r="F20" s="76" t="s">
        <v>177</v>
      </c>
      <c r="G20" s="75">
        <f>AVERAGE(G14:G18)</f>
        <v>0.3</v>
      </c>
      <c r="H20" s="74">
        <f>AVERAGE(H14:H18)</f>
        <v>1.3638543384715327E-2</v>
      </c>
      <c r="I20" s="74">
        <f>AVERAGE(I14:I18)</f>
        <v>1.338818571870971E-2</v>
      </c>
      <c r="J20" s="73">
        <f>AVERAGE(J14:J18)</f>
        <v>1.0540335466929431</v>
      </c>
      <c r="K20" s="73">
        <f>AVERAGE(K14:K18)</f>
        <v>1.0449164041489731</v>
      </c>
    </row>
    <row r="21" spans="2:11" x14ac:dyDescent="0.3">
      <c r="F21" s="57" t="s">
        <v>153</v>
      </c>
      <c r="G21" s="72">
        <f>MEDIAN(G14:G18)</f>
        <v>0.3</v>
      </c>
      <c r="H21" s="71">
        <f>MEDIAN(H14:H18)</f>
        <v>1.0454858474641854E-2</v>
      </c>
      <c r="I21" s="71">
        <f>MEDIAN(I14:I18)</f>
        <v>1.0346685343691904E-2</v>
      </c>
      <c r="J21" s="70">
        <f>MEDIAN(J14:J18)</f>
        <v>1.0531677334647152</v>
      </c>
      <c r="K21" s="70">
        <f>MEDIAN(K14:K18)</f>
        <v>1.0510194644443174</v>
      </c>
    </row>
    <row r="24" spans="2:11" x14ac:dyDescent="0.3">
      <c r="B24" s="57" t="s">
        <v>157</v>
      </c>
      <c r="C24" s="57"/>
      <c r="D24" s="57"/>
      <c r="E24" s="57"/>
      <c r="G24" s="57" t="s">
        <v>159</v>
      </c>
      <c r="H24" s="69"/>
      <c r="I24" s="69"/>
      <c r="J24" s="69"/>
      <c r="K24" s="69"/>
    </row>
    <row r="26" spans="2:11" x14ac:dyDescent="0.3">
      <c r="B26" t="s">
        <v>176</v>
      </c>
      <c r="E26" s="62">
        <f>69/E14</f>
        <v>8.4185354188526393E-2</v>
      </c>
      <c r="G26" t="s">
        <v>175</v>
      </c>
      <c r="K26" s="68">
        <v>6.3100000000000003E-2</v>
      </c>
    </row>
    <row r="27" spans="2:11" x14ac:dyDescent="0.3">
      <c r="B27" t="s">
        <v>174</v>
      </c>
      <c r="E27" s="56">
        <f>G20</f>
        <v>0.3</v>
      </c>
      <c r="G27" t="s">
        <v>173</v>
      </c>
      <c r="K27" s="56">
        <f>RM!G10-WACC!K26</f>
        <v>9.0247999999999981E-2</v>
      </c>
    </row>
    <row r="28" spans="2:11" ht="16.2" x14ac:dyDescent="0.3">
      <c r="B28" s="33" t="s">
        <v>172</v>
      </c>
      <c r="C28" s="33"/>
      <c r="D28" s="33"/>
      <c r="E28" s="67">
        <f>E26*(1-E27)</f>
        <v>5.8929747931968472E-2</v>
      </c>
      <c r="G28" s="36" t="s">
        <v>171</v>
      </c>
      <c r="H28" s="36"/>
      <c r="I28" s="36"/>
      <c r="J28" s="36"/>
      <c r="K28" s="66">
        <f>K37</f>
        <v>1.0610029964740315</v>
      </c>
    </row>
    <row r="29" spans="2:11" x14ac:dyDescent="0.3">
      <c r="G29" t="s">
        <v>159</v>
      </c>
      <c r="K29" s="54">
        <f>K26+K27*K28</f>
        <v>0.15885339842578838</v>
      </c>
    </row>
    <row r="32" spans="2:11" x14ac:dyDescent="0.3">
      <c r="B32" s="57" t="s">
        <v>170</v>
      </c>
      <c r="C32" s="57"/>
      <c r="D32" s="57"/>
      <c r="E32" s="57"/>
      <c r="G32" s="57" t="s">
        <v>162</v>
      </c>
      <c r="H32" s="57"/>
      <c r="I32" s="57"/>
      <c r="J32" s="57"/>
      <c r="K32" s="57"/>
    </row>
    <row r="34" spans="2:11" x14ac:dyDescent="0.3">
      <c r="D34" s="65" t="s">
        <v>169</v>
      </c>
      <c r="E34" s="65" t="s">
        <v>168</v>
      </c>
      <c r="G34" t="s">
        <v>167</v>
      </c>
      <c r="K34" s="64">
        <f>K21</f>
        <v>1.0510194644443174</v>
      </c>
    </row>
    <row r="35" spans="2:11" x14ac:dyDescent="0.3">
      <c r="B35" t="s">
        <v>166</v>
      </c>
      <c r="C35" s="63">
        <f>E14</f>
        <v>819.62</v>
      </c>
      <c r="D35" s="62">
        <f>C35/$C$37</f>
        <v>2.9114784724403636E-3</v>
      </c>
      <c r="E35" s="56">
        <f>I20</f>
        <v>1.338818571870971E-2</v>
      </c>
      <c r="G35" t="s">
        <v>165</v>
      </c>
      <c r="K35" s="56">
        <f>E39</f>
        <v>1.3569861545254757E-2</v>
      </c>
    </row>
    <row r="36" spans="2:11" x14ac:dyDescent="0.3">
      <c r="B36" t="s">
        <v>9</v>
      </c>
      <c r="C36" s="63">
        <f>F14</f>
        <v>280693.71000000002</v>
      </c>
      <c r="D36" s="62">
        <f>C36/$C$37</f>
        <v>0.99708852152755967</v>
      </c>
      <c r="E36" s="56">
        <f>E37-E35</f>
        <v>0.9866118142812903</v>
      </c>
      <c r="G36" t="s">
        <v>164</v>
      </c>
      <c r="K36" s="56">
        <f>E27</f>
        <v>0.3</v>
      </c>
    </row>
    <row r="37" spans="2:11" x14ac:dyDescent="0.3">
      <c r="B37" s="33" t="s">
        <v>163</v>
      </c>
      <c r="C37" s="61">
        <f>C36+C35</f>
        <v>281513.33</v>
      </c>
      <c r="D37" s="60">
        <f>C37/$C$37</f>
        <v>1</v>
      </c>
      <c r="E37" s="59">
        <f>D37</f>
        <v>1</v>
      </c>
      <c r="G37" s="33" t="s">
        <v>162</v>
      </c>
      <c r="H37" s="33"/>
      <c r="I37" s="33"/>
      <c r="J37" s="33"/>
      <c r="K37" s="58">
        <f>K34*(1+(1-K36)*K35)</f>
        <v>1.0610029964740315</v>
      </c>
    </row>
    <row r="39" spans="2:11" x14ac:dyDescent="0.3">
      <c r="B39" t="s">
        <v>161</v>
      </c>
      <c r="D39" s="54">
        <f>D35/D36</f>
        <v>2.9199799311498643E-3</v>
      </c>
      <c r="E39" s="54">
        <f>E35/E36</f>
        <v>1.3569861545254757E-2</v>
      </c>
      <c r="G39" s="57" t="s">
        <v>160</v>
      </c>
      <c r="H39" s="57"/>
      <c r="I39" s="57"/>
      <c r="J39" s="57"/>
      <c r="K39" s="57"/>
    </row>
    <row r="41" spans="2:11" x14ac:dyDescent="0.3">
      <c r="G41" t="s">
        <v>159</v>
      </c>
      <c r="K41" s="56">
        <f>K29</f>
        <v>0.15885339842578838</v>
      </c>
    </row>
    <row r="42" spans="2:11" x14ac:dyDescent="0.3">
      <c r="G42" t="s">
        <v>158</v>
      </c>
      <c r="K42" s="56">
        <f>E36</f>
        <v>0.9866118142812903</v>
      </c>
    </row>
    <row r="44" spans="2:11" x14ac:dyDescent="0.3">
      <c r="G44" t="s">
        <v>157</v>
      </c>
      <c r="K44" s="56">
        <f>E28</f>
        <v>5.8929747931968472E-2</v>
      </c>
    </row>
    <row r="45" spans="2:11" x14ac:dyDescent="0.3">
      <c r="G45" t="s">
        <v>156</v>
      </c>
      <c r="K45" s="56">
        <f>E35</f>
        <v>1.338818571870971E-2</v>
      </c>
    </row>
    <row r="47" spans="2:11" x14ac:dyDescent="0.3">
      <c r="G47" s="55" t="s">
        <v>155</v>
      </c>
      <c r="H47" s="55"/>
      <c r="I47" s="55"/>
      <c r="J47" s="55"/>
      <c r="K47" s="54">
        <f>(K41*K42)+(K44*K45)</f>
        <v>0.1575156020352857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9DE2-B8A5-4863-82AD-3E5E4068B218}">
  <sheetPr>
    <tabColor theme="6" tint="-0.249977111117893"/>
  </sheetPr>
  <dimension ref="A1"/>
  <sheetViews>
    <sheetView showGridLines="0" workbookViewId="0">
      <selection activeCell="G29" sqref="G29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8A05-FEE5-4BDB-82E8-A7B9C5A29F52}">
  <sheetPr>
    <tabColor rgb="FF002060"/>
  </sheetPr>
  <dimension ref="B1:T116"/>
  <sheetViews>
    <sheetView showGridLines="0" workbookViewId="0"/>
  </sheetViews>
  <sheetFormatPr defaultRowHeight="14.4" x14ac:dyDescent="0.3"/>
  <cols>
    <col min="1" max="1" width="1.88671875" customWidth="1"/>
    <col min="2" max="2" width="14.33203125" bestFit="1" customWidth="1"/>
    <col min="3" max="3" width="11.5546875" bestFit="1" customWidth="1"/>
    <col min="4" max="4" width="15.6640625" bestFit="1" customWidth="1"/>
    <col min="6" max="6" width="10.5546875" bestFit="1" customWidth="1"/>
    <col min="7" max="7" width="9.21875" bestFit="1" customWidth="1"/>
    <col min="9" max="9" width="16.109375" bestFit="1" customWidth="1"/>
    <col min="10" max="10" width="18.21875" bestFit="1" customWidth="1"/>
    <col min="11" max="11" width="12" bestFit="1" customWidth="1"/>
    <col min="12" max="12" width="18.21875" bestFit="1" customWidth="1"/>
    <col min="13" max="13" width="12.6640625" bestFit="1" customWidth="1"/>
    <col min="14" max="14" width="12" bestFit="1" customWidth="1"/>
    <col min="15" max="15" width="12.6640625" bestFit="1" customWidth="1"/>
    <col min="17" max="17" width="12.6640625" bestFit="1" customWidth="1"/>
    <col min="18" max="18" width="12.109375" bestFit="1" customWidth="1"/>
  </cols>
  <sheetData>
    <row r="1" spans="2:13" x14ac:dyDescent="0.3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2:13" x14ac:dyDescent="0.3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</row>
    <row r="3" spans="2:13" x14ac:dyDescent="0.3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2:13" x14ac:dyDescent="0.3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</row>
    <row r="5" spans="2:13" s="99" customFormat="1" x14ac:dyDescent="0.3"/>
    <row r="6" spans="2:13" x14ac:dyDescent="0.3">
      <c r="B6" s="151" t="s">
        <v>245</v>
      </c>
      <c r="C6" s="151"/>
      <c r="D6" s="151"/>
    </row>
    <row r="7" spans="2:13" x14ac:dyDescent="0.3">
      <c r="B7" s="22"/>
    </row>
    <row r="8" spans="2:13" x14ac:dyDescent="0.3">
      <c r="B8" s="150" t="s">
        <v>244</v>
      </c>
      <c r="C8" s="150"/>
      <c r="D8" s="150"/>
      <c r="F8" s="150" t="s">
        <v>243</v>
      </c>
      <c r="G8" s="150"/>
      <c r="I8" s="150" t="s">
        <v>242</v>
      </c>
      <c r="J8" s="150"/>
      <c r="L8" s="150" t="s">
        <v>222</v>
      </c>
      <c r="M8" s="150"/>
    </row>
    <row r="10" spans="2:13" x14ac:dyDescent="0.3">
      <c r="B10" s="98" t="s">
        <v>241</v>
      </c>
      <c r="C10" s="97" t="s">
        <v>240</v>
      </c>
      <c r="D10" s="97" t="s">
        <v>238</v>
      </c>
      <c r="F10" s="97" t="s">
        <v>239</v>
      </c>
      <c r="G10" s="97" t="s">
        <v>238</v>
      </c>
      <c r="I10" s="96" t="s">
        <v>237</v>
      </c>
      <c r="J10" s="93">
        <f>M14</f>
        <v>1.0531677334647152</v>
      </c>
    </row>
    <row r="11" spans="2:13" x14ac:dyDescent="0.3">
      <c r="B11" s="90">
        <v>45103</v>
      </c>
      <c r="C11" s="49">
        <v>3889.2</v>
      </c>
      <c r="F11" s="49">
        <v>19189.05</v>
      </c>
      <c r="I11" t="s">
        <v>236</v>
      </c>
      <c r="J11" s="94">
        <v>0.75</v>
      </c>
      <c r="L11" t="s">
        <v>235</v>
      </c>
      <c r="M11" s="93">
        <f>SLOPE(D12:D117,G12:G117)</f>
        <v>1.0531677334647158</v>
      </c>
    </row>
    <row r="12" spans="2:13" x14ac:dyDescent="0.3">
      <c r="B12" s="90">
        <v>45110</v>
      </c>
      <c r="C12" s="49">
        <v>3808.95</v>
      </c>
      <c r="D12" s="21">
        <f t="shared" ref="D12:D43" si="0">C12/C11-1</f>
        <v>-2.0634063560629468E-2</v>
      </c>
      <c r="F12" s="49">
        <v>19331.8</v>
      </c>
      <c r="G12" s="21">
        <f t="shared" ref="G12:G43" si="1">F12/F11-1</f>
        <v>7.4391384669902916E-3</v>
      </c>
      <c r="L12" t="s">
        <v>234</v>
      </c>
      <c r="M12" s="95">
        <f>_xlfn.COVARIANCE.S(D12:D116,G12:G116)/_xlfn.VAR.S(G12:G116)</f>
        <v>1.0531677334647158</v>
      </c>
    </row>
    <row r="13" spans="2:13" x14ac:dyDescent="0.3">
      <c r="B13" s="90">
        <v>45117</v>
      </c>
      <c r="C13" s="49">
        <v>3838.75</v>
      </c>
      <c r="D13" s="21">
        <f t="shared" si="0"/>
        <v>7.8236784415652849E-3</v>
      </c>
      <c r="F13" s="49">
        <v>19564.5</v>
      </c>
      <c r="G13" s="21">
        <f t="shared" si="1"/>
        <v>1.2037161567986399E-2</v>
      </c>
      <c r="I13" t="s">
        <v>233</v>
      </c>
      <c r="J13" s="93">
        <v>1</v>
      </c>
    </row>
    <row r="14" spans="2:13" x14ac:dyDescent="0.3">
      <c r="B14" s="90">
        <v>45124</v>
      </c>
      <c r="C14" s="49">
        <v>3675.7</v>
      </c>
      <c r="D14" s="21">
        <f t="shared" si="0"/>
        <v>-4.2474763920547054E-2</v>
      </c>
      <c r="F14" s="49">
        <v>19745</v>
      </c>
      <c r="G14" s="21">
        <f t="shared" si="1"/>
        <v>9.225893838329613E-3</v>
      </c>
      <c r="I14" t="s">
        <v>232</v>
      </c>
      <c r="J14" s="94">
        <v>0.25</v>
      </c>
      <c r="L14" t="s">
        <v>231</v>
      </c>
      <c r="M14" s="93">
        <f>M33</f>
        <v>1.0531677334647152</v>
      </c>
    </row>
    <row r="15" spans="2:13" x14ac:dyDescent="0.3">
      <c r="B15" s="90">
        <v>45131</v>
      </c>
      <c r="C15" s="49">
        <v>3713.9</v>
      </c>
      <c r="D15" s="21">
        <f t="shared" si="0"/>
        <v>1.0392578284408538E-2</v>
      </c>
      <c r="F15" s="49">
        <v>19646.05</v>
      </c>
      <c r="G15" s="21">
        <f t="shared" si="1"/>
        <v>-5.0113952899468739E-3</v>
      </c>
    </row>
    <row r="16" spans="2:13" x14ac:dyDescent="0.3">
      <c r="B16" s="90">
        <v>45138</v>
      </c>
      <c r="C16" s="49">
        <v>3652.1</v>
      </c>
      <c r="D16" s="21">
        <f t="shared" si="0"/>
        <v>-1.6640189558146501E-2</v>
      </c>
      <c r="F16" s="49">
        <v>19517</v>
      </c>
      <c r="G16" s="21">
        <f t="shared" si="1"/>
        <v>-6.568750461288575E-3</v>
      </c>
      <c r="I16" t="s">
        <v>230</v>
      </c>
      <c r="J16" s="93">
        <f>(J10*J11)+(J13*J14)</f>
        <v>1.0398758000985364</v>
      </c>
      <c r="L16" t="s">
        <v>229</v>
      </c>
    </row>
    <row r="17" spans="2:20" ht="15" thickBot="1" x14ac:dyDescent="0.35">
      <c r="B17" s="90">
        <v>45145</v>
      </c>
      <c r="C17" s="49">
        <v>3550.05</v>
      </c>
      <c r="D17" s="21">
        <f t="shared" si="0"/>
        <v>-2.7942827414364269E-2</v>
      </c>
      <c r="F17" s="49">
        <v>19428.3</v>
      </c>
      <c r="G17" s="21">
        <f t="shared" si="1"/>
        <v>-4.5447558538710409E-3</v>
      </c>
    </row>
    <row r="18" spans="2:20" x14ac:dyDescent="0.3">
      <c r="B18" s="90">
        <v>45152</v>
      </c>
      <c r="C18" s="49">
        <v>3540.95</v>
      </c>
      <c r="D18" s="21">
        <f t="shared" si="0"/>
        <v>-2.5633441782511035E-3</v>
      </c>
      <c r="F18" s="49">
        <v>19310.150000000001</v>
      </c>
      <c r="G18" s="21">
        <f t="shared" si="1"/>
        <v>-6.0813349598265454E-3</v>
      </c>
      <c r="L18" s="92" t="s">
        <v>228</v>
      </c>
      <c r="M18" s="92"/>
    </row>
    <row r="19" spans="2:20" x14ac:dyDescent="0.3">
      <c r="B19" s="90">
        <v>45159</v>
      </c>
      <c r="C19" s="49">
        <v>3534.6</v>
      </c>
      <c r="D19" s="21">
        <f t="shared" si="0"/>
        <v>-1.7933040568208769E-3</v>
      </c>
      <c r="F19" s="49">
        <v>19265.8</v>
      </c>
      <c r="G19" s="21">
        <f t="shared" si="1"/>
        <v>-2.2967196008317758E-3</v>
      </c>
      <c r="L19" t="s">
        <v>227</v>
      </c>
      <c r="M19">
        <v>0.42347907887126507</v>
      </c>
    </row>
    <row r="20" spans="2:20" x14ac:dyDescent="0.3">
      <c r="B20" s="90">
        <v>45166</v>
      </c>
      <c r="C20" s="49">
        <v>3761.05</v>
      </c>
      <c r="D20" s="21">
        <f t="shared" si="0"/>
        <v>6.4066655349968915E-2</v>
      </c>
      <c r="F20" s="49">
        <v>19435.3</v>
      </c>
      <c r="G20" s="21">
        <f t="shared" si="1"/>
        <v>8.7979736112697715E-3</v>
      </c>
      <c r="I20" s="150" t="s">
        <v>226</v>
      </c>
      <c r="J20" s="150"/>
      <c r="L20" t="s">
        <v>225</v>
      </c>
      <c r="M20">
        <v>0.17933453024165513</v>
      </c>
    </row>
    <row r="21" spans="2:20" x14ac:dyDescent="0.3">
      <c r="B21" s="90">
        <v>45173</v>
      </c>
      <c r="C21" s="49">
        <v>3782.4</v>
      </c>
      <c r="D21" s="21">
        <f t="shared" si="0"/>
        <v>5.6766062668669459E-3</v>
      </c>
      <c r="F21" s="49">
        <v>19819.95</v>
      </c>
      <c r="G21" s="21">
        <f t="shared" si="1"/>
        <v>1.9791307569216876E-2</v>
      </c>
      <c r="L21" t="s">
        <v>224</v>
      </c>
      <c r="M21">
        <v>0.17136690432167118</v>
      </c>
    </row>
    <row r="22" spans="2:20" x14ac:dyDescent="0.3">
      <c r="B22" s="90">
        <v>45180</v>
      </c>
      <c r="C22" s="49">
        <v>3796</v>
      </c>
      <c r="D22" s="21">
        <f t="shared" si="0"/>
        <v>3.5956006768189663E-3</v>
      </c>
      <c r="F22" s="49">
        <v>20192.349999999999</v>
      </c>
      <c r="G22" s="21">
        <f t="shared" si="1"/>
        <v>1.8789149316723597E-2</v>
      </c>
      <c r="I22" s="57" t="s">
        <v>223</v>
      </c>
      <c r="J22" s="65" t="s">
        <v>222</v>
      </c>
      <c r="L22" t="s">
        <v>211</v>
      </c>
      <c r="M22">
        <v>3.8465687092500839E-2</v>
      </c>
    </row>
    <row r="23" spans="2:20" ht="15" thickBot="1" x14ac:dyDescent="0.35">
      <c r="B23" s="90">
        <v>45187</v>
      </c>
      <c r="C23" s="49">
        <v>3689.1</v>
      </c>
      <c r="D23" s="21">
        <f t="shared" si="0"/>
        <v>-2.8161222339304515E-2</v>
      </c>
      <c r="F23" s="49">
        <v>19674.25</v>
      </c>
      <c r="G23" s="21">
        <f t="shared" si="1"/>
        <v>-2.5658231954180599E-2</v>
      </c>
      <c r="I23" t="str">
        <f>'Beta Comps'!C8</f>
        <v>Eternal Ltd</v>
      </c>
      <c r="J23">
        <v>1.27</v>
      </c>
      <c r="L23" s="91" t="s">
        <v>221</v>
      </c>
      <c r="M23" s="91">
        <v>105</v>
      </c>
    </row>
    <row r="24" spans="2:20" x14ac:dyDescent="0.3">
      <c r="B24" s="90">
        <v>45194</v>
      </c>
      <c r="C24" s="49">
        <v>3675.6</v>
      </c>
      <c r="D24" s="21">
        <f t="shared" si="0"/>
        <v>-3.6594291290558134E-3</v>
      </c>
      <c r="F24" s="49">
        <v>19638.3</v>
      </c>
      <c r="G24" s="21">
        <f t="shared" si="1"/>
        <v>-1.8272615220402688E-3</v>
      </c>
      <c r="I24" t="str">
        <f>'Beta Comps'!C9</f>
        <v>Trent</v>
      </c>
      <c r="J24">
        <v>1.23</v>
      </c>
    </row>
    <row r="25" spans="2:20" ht="15" thickBot="1" x14ac:dyDescent="0.35">
      <c r="B25" s="90">
        <v>45201</v>
      </c>
      <c r="C25" s="49">
        <v>3833.95</v>
      </c>
      <c r="D25" s="21">
        <f t="shared" si="0"/>
        <v>4.3081401675916897E-2</v>
      </c>
      <c r="F25" s="49">
        <v>19653.5</v>
      </c>
      <c r="G25" s="21">
        <f t="shared" si="1"/>
        <v>7.7399774929598486E-4</v>
      </c>
      <c r="I25" t="str">
        <f>'Beta Comps'!C10</f>
        <v>FSN E-Commerce</v>
      </c>
      <c r="J25">
        <v>1.01</v>
      </c>
      <c r="L25" t="s">
        <v>220</v>
      </c>
    </row>
    <row r="26" spans="2:20" x14ac:dyDescent="0.3">
      <c r="B26" s="90">
        <v>45208</v>
      </c>
      <c r="C26" s="49">
        <v>3935.85</v>
      </c>
      <c r="D26" s="21">
        <f t="shared" si="0"/>
        <v>2.6578333050770064E-2</v>
      </c>
      <c r="F26" s="49">
        <v>19751.05</v>
      </c>
      <c r="G26" s="21">
        <f t="shared" si="1"/>
        <v>4.9634925076957881E-3</v>
      </c>
      <c r="I26" t="str">
        <f>'Beta Comps'!C11</f>
        <v>Vedant Fashions</v>
      </c>
      <c r="J26" s="93">
        <v>0.70699999999999996</v>
      </c>
      <c r="L26" s="92"/>
      <c r="M26" s="92" t="s">
        <v>219</v>
      </c>
      <c r="N26" s="92" t="s">
        <v>218</v>
      </c>
      <c r="O26" s="92" t="s">
        <v>217</v>
      </c>
      <c r="P26" s="92" t="s">
        <v>216</v>
      </c>
      <c r="Q26" s="92" t="s">
        <v>215</v>
      </c>
    </row>
    <row r="27" spans="2:20" x14ac:dyDescent="0.3">
      <c r="B27" s="90">
        <v>45215</v>
      </c>
      <c r="C27" s="49">
        <v>3749.5</v>
      </c>
      <c r="D27" s="21">
        <f t="shared" si="0"/>
        <v>-4.7346824701144596E-2</v>
      </c>
      <c r="F27" s="49">
        <v>19542.650000000001</v>
      </c>
      <c r="G27" s="21">
        <f t="shared" si="1"/>
        <v>-1.0551337776978809E-2</v>
      </c>
      <c r="L27" t="s">
        <v>214</v>
      </c>
      <c r="M27">
        <v>1</v>
      </c>
      <c r="N27">
        <v>3.3302893809925266E-2</v>
      </c>
      <c r="O27">
        <v>3.3302893809925266E-2</v>
      </c>
      <c r="P27">
        <v>22.507900351076824</v>
      </c>
      <c r="Q27">
        <v>6.760135287877918E-6</v>
      </c>
    </row>
    <row r="28" spans="2:20" x14ac:dyDescent="0.3">
      <c r="B28" s="90">
        <v>45222</v>
      </c>
      <c r="C28" s="49">
        <v>3665.45</v>
      </c>
      <c r="D28" s="21">
        <f t="shared" si="0"/>
        <v>-2.2416322176290193E-2</v>
      </c>
      <c r="F28" s="49">
        <v>19047.25</v>
      </c>
      <c r="G28" s="21">
        <f t="shared" si="1"/>
        <v>-2.5349683896503383E-2</v>
      </c>
      <c r="L28" t="s">
        <v>213</v>
      </c>
      <c r="M28">
        <v>103</v>
      </c>
      <c r="N28">
        <v>0.15239973560031309</v>
      </c>
      <c r="O28">
        <v>1.4796090834981854E-3</v>
      </c>
    </row>
    <row r="29" spans="2:20" ht="15" thickBot="1" x14ac:dyDescent="0.35">
      <c r="B29" s="90">
        <v>45229</v>
      </c>
      <c r="C29" s="49">
        <v>3649.7</v>
      </c>
      <c r="D29" s="21">
        <f t="shared" si="0"/>
        <v>-4.2968803284726409E-3</v>
      </c>
      <c r="F29" s="49">
        <v>19230.599999999999</v>
      </c>
      <c r="G29" s="21">
        <f t="shared" si="1"/>
        <v>9.6260615049414966E-3</v>
      </c>
      <c r="L29" s="91" t="s">
        <v>35</v>
      </c>
      <c r="M29" s="91">
        <v>104</v>
      </c>
      <c r="N29" s="91">
        <v>0.18570262941023835</v>
      </c>
      <c r="O29" s="91"/>
      <c r="P29" s="91"/>
      <c r="Q29" s="91"/>
    </row>
    <row r="30" spans="2:20" ht="15" thickBot="1" x14ac:dyDescent="0.35">
      <c r="B30" s="90">
        <v>45236</v>
      </c>
      <c r="C30" s="49">
        <v>3798.4</v>
      </c>
      <c r="D30" s="21">
        <f t="shared" si="0"/>
        <v>4.0743074773269106E-2</v>
      </c>
      <c r="F30" s="49">
        <v>19425.349999999999</v>
      </c>
      <c r="G30" s="21">
        <f t="shared" si="1"/>
        <v>1.0127089118384225E-2</v>
      </c>
    </row>
    <row r="31" spans="2:20" x14ac:dyDescent="0.3">
      <c r="B31" s="90">
        <v>45243</v>
      </c>
      <c r="C31" s="49">
        <v>3810.9</v>
      </c>
      <c r="D31" s="21">
        <f t="shared" si="0"/>
        <v>3.2908593091827143E-3</v>
      </c>
      <c r="F31" s="49">
        <v>19731.8</v>
      </c>
      <c r="G31" s="21">
        <f t="shared" si="1"/>
        <v>1.5775777527818002E-2</v>
      </c>
      <c r="L31" s="92"/>
      <c r="M31" s="92" t="s">
        <v>212</v>
      </c>
      <c r="N31" s="92" t="s">
        <v>211</v>
      </c>
      <c r="O31" s="92" t="s">
        <v>210</v>
      </c>
      <c r="P31" s="92" t="s">
        <v>209</v>
      </c>
      <c r="Q31" s="92" t="s">
        <v>208</v>
      </c>
      <c r="R31" s="92" t="s">
        <v>207</v>
      </c>
      <c r="S31" s="92" t="s">
        <v>206</v>
      </c>
      <c r="T31" s="92" t="s">
        <v>205</v>
      </c>
    </row>
    <row r="32" spans="2:20" x14ac:dyDescent="0.3">
      <c r="B32" s="90">
        <v>45250</v>
      </c>
      <c r="C32" s="49">
        <v>3842.9</v>
      </c>
      <c r="D32" s="21">
        <f t="shared" si="0"/>
        <v>8.3969665958172346E-3</v>
      </c>
      <c r="F32" s="49">
        <v>19794.7</v>
      </c>
      <c r="G32" s="21">
        <f t="shared" si="1"/>
        <v>3.1877476966115648E-3</v>
      </c>
      <c r="L32" t="s">
        <v>204</v>
      </c>
      <c r="M32">
        <v>-1.1939000172695013E-3</v>
      </c>
      <c r="N32">
        <v>3.8089020502359147E-3</v>
      </c>
      <c r="O32">
        <v>-0.31344991326189492</v>
      </c>
      <c r="P32">
        <v>0.754572741446083</v>
      </c>
      <c r="Q32">
        <v>-8.7479588844565116E-3</v>
      </c>
      <c r="R32">
        <v>6.3601588499175099E-3</v>
      </c>
      <c r="S32">
        <v>-8.7479588844565116E-3</v>
      </c>
      <c r="T32">
        <v>6.3601588499175099E-3</v>
      </c>
    </row>
    <row r="33" spans="2:20" ht="15" thickBot="1" x14ac:dyDescent="0.35">
      <c r="B33" s="90">
        <v>45257</v>
      </c>
      <c r="C33" s="49">
        <v>3988.4</v>
      </c>
      <c r="D33" s="21">
        <f t="shared" si="0"/>
        <v>3.7862031278461661E-2</v>
      </c>
      <c r="F33" s="49">
        <v>20267.900000000001</v>
      </c>
      <c r="G33" s="21">
        <f t="shared" si="1"/>
        <v>2.3905388816198414E-2</v>
      </c>
      <c r="L33" s="91" t="s">
        <v>203</v>
      </c>
      <c r="M33" s="91">
        <v>1.0531677334647152</v>
      </c>
      <c r="N33" s="91">
        <v>0.221988283475238</v>
      </c>
      <c r="O33" s="91">
        <v>4.7442491872873651</v>
      </c>
      <c r="P33" s="91">
        <v>6.760135287877918E-6</v>
      </c>
      <c r="Q33" s="91">
        <v>0.61290633028846875</v>
      </c>
      <c r="R33" s="91">
        <v>1.4934291366409616</v>
      </c>
      <c r="S33" s="91">
        <v>0.61290633028846875</v>
      </c>
      <c r="T33" s="91">
        <v>1.4934291366409616</v>
      </c>
    </row>
    <row r="34" spans="2:20" x14ac:dyDescent="0.3">
      <c r="B34" s="90">
        <v>45264</v>
      </c>
      <c r="C34" s="49">
        <v>4070.65</v>
      </c>
      <c r="D34" s="21">
        <f t="shared" si="0"/>
        <v>2.0622304683582282E-2</v>
      </c>
      <c r="F34" s="49">
        <v>20969.400000000001</v>
      </c>
      <c r="G34" s="21">
        <f t="shared" si="1"/>
        <v>3.4611380557433069E-2</v>
      </c>
    </row>
    <row r="35" spans="2:20" x14ac:dyDescent="0.3">
      <c r="B35" s="90">
        <v>45271</v>
      </c>
      <c r="C35" s="49">
        <v>4045.65</v>
      </c>
      <c r="D35" s="21">
        <f t="shared" si="0"/>
        <v>-6.1415253092258482E-3</v>
      </c>
      <c r="F35" s="49">
        <v>21456.65</v>
      </c>
      <c r="G35" s="21">
        <f t="shared" si="1"/>
        <v>2.3236239472755438E-2</v>
      </c>
    </row>
    <row r="36" spans="2:20" x14ac:dyDescent="0.3">
      <c r="B36" s="90">
        <v>45278</v>
      </c>
      <c r="C36" s="49">
        <v>4007.95</v>
      </c>
      <c r="D36" s="21">
        <f t="shared" si="0"/>
        <v>-9.3186508966421888E-3</v>
      </c>
      <c r="F36" s="49">
        <v>21349.4</v>
      </c>
      <c r="G36" s="21">
        <f t="shared" si="1"/>
        <v>-4.9984503638732525E-3</v>
      </c>
    </row>
    <row r="37" spans="2:20" x14ac:dyDescent="0.3">
      <c r="B37" s="90">
        <v>45285</v>
      </c>
      <c r="C37" s="49">
        <v>4082.65</v>
      </c>
      <c r="D37" s="21">
        <f t="shared" si="0"/>
        <v>1.8637957060342547E-2</v>
      </c>
      <c r="F37" s="49">
        <v>21731.4</v>
      </c>
      <c r="G37" s="21">
        <f t="shared" si="1"/>
        <v>1.7892774504201459E-2</v>
      </c>
    </row>
    <row r="38" spans="2:20" x14ac:dyDescent="0.3">
      <c r="B38" s="90">
        <v>45292</v>
      </c>
      <c r="C38" s="49">
        <v>3863.5</v>
      </c>
      <c r="D38" s="21">
        <f t="shared" si="0"/>
        <v>-5.3678370666111475E-2</v>
      </c>
      <c r="F38" s="49">
        <v>21710.799999999999</v>
      </c>
      <c r="G38" s="21">
        <f t="shared" si="1"/>
        <v>-9.479370864280412E-4</v>
      </c>
    </row>
    <row r="39" spans="2:20" x14ac:dyDescent="0.3">
      <c r="B39" s="90">
        <v>45299</v>
      </c>
      <c r="C39" s="49">
        <v>3841</v>
      </c>
      <c r="D39" s="21">
        <f t="shared" si="0"/>
        <v>-5.8237349553513784E-3</v>
      </c>
      <c r="F39" s="49">
        <v>21894.55</v>
      </c>
      <c r="G39" s="21">
        <f t="shared" si="1"/>
        <v>8.4635296718684749E-3</v>
      </c>
    </row>
    <row r="40" spans="2:20" x14ac:dyDescent="0.3">
      <c r="B40" s="90">
        <v>45306</v>
      </c>
      <c r="C40" s="49">
        <v>3731.7</v>
      </c>
      <c r="D40" s="21">
        <f t="shared" si="0"/>
        <v>-2.8456131215829239E-2</v>
      </c>
      <c r="F40" s="49">
        <v>21622.400000000001</v>
      </c>
      <c r="G40" s="21">
        <f t="shared" si="1"/>
        <v>-1.2430033958222397E-2</v>
      </c>
    </row>
    <row r="41" spans="2:20" x14ac:dyDescent="0.3">
      <c r="B41" s="90">
        <v>45313</v>
      </c>
      <c r="C41" s="49">
        <v>3734.25</v>
      </c>
      <c r="D41" s="21">
        <f t="shared" si="0"/>
        <v>6.8333467320536023E-4</v>
      </c>
      <c r="F41" s="49">
        <v>21352.6</v>
      </c>
      <c r="G41" s="21">
        <f t="shared" si="1"/>
        <v>-1.2477800799171379E-2</v>
      </c>
    </row>
    <row r="42" spans="2:20" x14ac:dyDescent="0.3">
      <c r="B42" s="90">
        <v>45320</v>
      </c>
      <c r="C42" s="49">
        <v>3784.3</v>
      </c>
      <c r="D42" s="21">
        <f t="shared" si="0"/>
        <v>1.3402959094865219E-2</v>
      </c>
      <c r="F42" s="49">
        <v>21853.8</v>
      </c>
      <c r="G42" s="21">
        <f t="shared" si="1"/>
        <v>2.3472551352060167E-2</v>
      </c>
    </row>
    <row r="43" spans="2:20" x14ac:dyDescent="0.3">
      <c r="B43" s="90">
        <v>45327</v>
      </c>
      <c r="C43" s="49">
        <v>3719.2</v>
      </c>
      <c r="D43" s="21">
        <f t="shared" si="0"/>
        <v>-1.720265306661739E-2</v>
      </c>
      <c r="F43" s="49">
        <v>21782.5</v>
      </c>
      <c r="G43" s="21">
        <f t="shared" si="1"/>
        <v>-3.2625904876955047E-3</v>
      </c>
    </row>
    <row r="44" spans="2:20" x14ac:dyDescent="0.3">
      <c r="B44" s="90">
        <v>45334</v>
      </c>
      <c r="C44" s="49">
        <v>3693.3</v>
      </c>
      <c r="D44" s="21">
        <f t="shared" ref="D44:D75" si="2">C44/C43-1</f>
        <v>-6.9638631963861997E-3</v>
      </c>
      <c r="F44" s="49">
        <v>22040.7</v>
      </c>
      <c r="G44" s="21">
        <f t="shared" ref="G44:G75" si="3">F44/F43-1</f>
        <v>1.1853552163433978E-2</v>
      </c>
    </row>
    <row r="45" spans="2:20" x14ac:dyDescent="0.3">
      <c r="B45" s="90">
        <v>45341</v>
      </c>
      <c r="C45" s="49">
        <v>3840.55</v>
      </c>
      <c r="D45" s="21">
        <f t="shared" si="2"/>
        <v>3.9869493406980094E-2</v>
      </c>
      <c r="F45" s="49">
        <v>22212.7</v>
      </c>
      <c r="G45" s="21">
        <f t="shared" si="3"/>
        <v>7.8037448901351336E-3</v>
      </c>
    </row>
    <row r="46" spans="2:20" x14ac:dyDescent="0.3">
      <c r="B46" s="90">
        <v>45348</v>
      </c>
      <c r="C46" s="49">
        <v>3884.15</v>
      </c>
      <c r="D46" s="21">
        <f t="shared" si="2"/>
        <v>1.1352540651729637E-2</v>
      </c>
      <c r="F46" s="49">
        <v>22338.75</v>
      </c>
      <c r="G46" s="21">
        <f t="shared" si="3"/>
        <v>5.6746816010659895E-3</v>
      </c>
    </row>
    <row r="47" spans="2:20" x14ac:dyDescent="0.3">
      <c r="B47" s="90">
        <v>45355</v>
      </c>
      <c r="C47" s="49">
        <v>3925.95</v>
      </c>
      <c r="D47" s="21">
        <f t="shared" si="2"/>
        <v>1.076168531081434E-2</v>
      </c>
      <c r="F47" s="49">
        <v>22493.55</v>
      </c>
      <c r="G47" s="21">
        <f t="shared" si="3"/>
        <v>6.929662581836471E-3</v>
      </c>
    </row>
    <row r="48" spans="2:20" x14ac:dyDescent="0.3">
      <c r="B48" s="90">
        <v>45362</v>
      </c>
      <c r="C48" s="49">
        <v>3932.1</v>
      </c>
      <c r="D48" s="21">
        <f t="shared" si="2"/>
        <v>1.5664998280671139E-3</v>
      </c>
      <c r="F48" s="49">
        <v>22023.35</v>
      </c>
      <c r="G48" s="21">
        <f t="shared" si="3"/>
        <v>-2.0903770191899484E-2</v>
      </c>
    </row>
    <row r="49" spans="2:7" x14ac:dyDescent="0.3">
      <c r="B49" s="90">
        <v>45369</v>
      </c>
      <c r="C49" s="49">
        <v>4297.6000000000004</v>
      </c>
      <c r="D49" s="21">
        <f t="shared" si="2"/>
        <v>9.2952875054042483E-2</v>
      </c>
      <c r="F49" s="49">
        <v>22096.75</v>
      </c>
      <c r="G49" s="21">
        <f t="shared" si="3"/>
        <v>3.3328262957270649E-3</v>
      </c>
    </row>
    <row r="50" spans="2:7" x14ac:dyDescent="0.3">
      <c r="B50" s="90">
        <v>45376</v>
      </c>
      <c r="C50" s="49">
        <v>4525.6000000000004</v>
      </c>
      <c r="D50" s="21">
        <f t="shared" si="2"/>
        <v>5.3052866716306823E-2</v>
      </c>
      <c r="F50" s="49">
        <v>22326.9</v>
      </c>
      <c r="G50" s="21">
        <f t="shared" si="3"/>
        <v>1.0415558849152129E-2</v>
      </c>
    </row>
    <row r="51" spans="2:7" x14ac:dyDescent="0.3">
      <c r="B51" s="90">
        <v>45383</v>
      </c>
      <c r="C51" s="49">
        <v>4619.25</v>
      </c>
      <c r="D51" s="21">
        <f t="shared" si="2"/>
        <v>2.0693388721937378E-2</v>
      </c>
      <c r="F51" s="49">
        <v>22513.7</v>
      </c>
      <c r="G51" s="21">
        <f t="shared" si="3"/>
        <v>8.3665891816597782E-3</v>
      </c>
    </row>
    <row r="52" spans="2:7" x14ac:dyDescent="0.3">
      <c r="B52" s="90">
        <v>45390</v>
      </c>
      <c r="C52" s="49">
        <v>4765.05</v>
      </c>
      <c r="D52" s="21">
        <f t="shared" si="2"/>
        <v>3.1563565513882175E-2</v>
      </c>
      <c r="F52" s="49">
        <v>22519.4</v>
      </c>
      <c r="G52" s="21">
        <f t="shared" si="3"/>
        <v>2.5317917534661838E-4</v>
      </c>
    </row>
    <row r="53" spans="2:7" x14ac:dyDescent="0.3">
      <c r="B53" s="90">
        <v>45397</v>
      </c>
      <c r="C53" s="49">
        <v>4696</v>
      </c>
      <c r="D53" s="21">
        <f t="shared" si="2"/>
        <v>-1.4490928741566211E-2</v>
      </c>
      <c r="F53" s="49">
        <v>22147</v>
      </c>
      <c r="G53" s="21">
        <f t="shared" si="3"/>
        <v>-1.6536852669254087E-2</v>
      </c>
    </row>
    <row r="54" spans="2:7" x14ac:dyDescent="0.3">
      <c r="B54" s="90">
        <v>45404</v>
      </c>
      <c r="C54" s="49">
        <v>4553.1499999999996</v>
      </c>
      <c r="D54" s="21">
        <f t="shared" si="2"/>
        <v>-3.0419505962521409E-2</v>
      </c>
      <c r="F54" s="49">
        <v>22419.95</v>
      </c>
      <c r="G54" s="21">
        <f t="shared" si="3"/>
        <v>1.2324468325281002E-2</v>
      </c>
    </row>
    <row r="55" spans="2:7" x14ac:dyDescent="0.3">
      <c r="B55" s="90">
        <v>45411</v>
      </c>
      <c r="C55" s="49">
        <v>4612.3500000000004</v>
      </c>
      <c r="D55" s="21">
        <f t="shared" si="2"/>
        <v>1.300198763493432E-2</v>
      </c>
      <c r="F55" s="49">
        <v>22475.85</v>
      </c>
      <c r="G55" s="21">
        <f t="shared" si="3"/>
        <v>2.4933151055197555E-3</v>
      </c>
    </row>
    <row r="56" spans="2:7" x14ac:dyDescent="0.3">
      <c r="B56" s="90">
        <v>45418</v>
      </c>
      <c r="C56" s="49">
        <v>4796.8</v>
      </c>
      <c r="D56" s="21">
        <f t="shared" si="2"/>
        <v>3.9990460394375926E-2</v>
      </c>
      <c r="F56" s="49">
        <v>22055.200000000001</v>
      </c>
      <c r="G56" s="21">
        <f t="shared" si="3"/>
        <v>-1.8715643679771743E-2</v>
      </c>
    </row>
    <row r="57" spans="2:7" x14ac:dyDescent="0.3">
      <c r="B57" s="90">
        <v>45425</v>
      </c>
      <c r="C57" s="49">
        <v>4670.6499999999996</v>
      </c>
      <c r="D57" s="21">
        <f t="shared" si="2"/>
        <v>-2.6298782521681274E-2</v>
      </c>
      <c r="F57" s="49">
        <v>22466.1</v>
      </c>
      <c r="G57" s="21">
        <f t="shared" si="3"/>
        <v>1.8630527041241907E-2</v>
      </c>
    </row>
    <row r="58" spans="2:7" x14ac:dyDescent="0.3">
      <c r="B58" s="90">
        <v>45432</v>
      </c>
      <c r="C58" s="49">
        <v>4684.5</v>
      </c>
      <c r="D58" s="21">
        <f t="shared" si="2"/>
        <v>2.9653260252855418E-3</v>
      </c>
      <c r="F58" s="49">
        <v>22957.1</v>
      </c>
      <c r="G58" s="21">
        <f t="shared" si="3"/>
        <v>2.1855150649200406E-2</v>
      </c>
    </row>
    <row r="59" spans="2:7" x14ac:dyDescent="0.3">
      <c r="B59" s="90">
        <v>45439</v>
      </c>
      <c r="C59" s="49">
        <v>4302.1499999999996</v>
      </c>
      <c r="D59" s="21">
        <f t="shared" si="2"/>
        <v>-8.1620236951649106E-2</v>
      </c>
      <c r="F59" s="49">
        <v>22530.7</v>
      </c>
      <c r="G59" s="21">
        <f t="shared" si="3"/>
        <v>-1.8573774562117951E-2</v>
      </c>
    </row>
    <row r="60" spans="2:7" x14ac:dyDescent="0.3">
      <c r="B60" s="90">
        <v>45446</v>
      </c>
      <c r="C60" s="49">
        <v>4747.25</v>
      </c>
      <c r="D60" s="21">
        <f t="shared" si="2"/>
        <v>0.10345989795799793</v>
      </c>
      <c r="F60" s="49">
        <v>23290.15</v>
      </c>
      <c r="G60" s="21">
        <f t="shared" si="3"/>
        <v>3.3707341538434354E-2</v>
      </c>
    </row>
    <row r="61" spans="2:7" x14ac:dyDescent="0.3">
      <c r="B61" s="90">
        <v>45453</v>
      </c>
      <c r="C61" s="49">
        <v>4739.95</v>
      </c>
      <c r="D61" s="21">
        <f t="shared" si="2"/>
        <v>-1.5377323713728908E-3</v>
      </c>
      <c r="F61" s="49">
        <v>23465.599999999999</v>
      </c>
      <c r="G61" s="21">
        <f t="shared" si="3"/>
        <v>7.5332275661599279E-3</v>
      </c>
    </row>
    <row r="62" spans="2:7" x14ac:dyDescent="0.3">
      <c r="B62" s="90">
        <v>45460</v>
      </c>
      <c r="C62" s="49">
        <v>4804.8500000000004</v>
      </c>
      <c r="D62" s="21">
        <f t="shared" si="2"/>
        <v>1.3692127554088218E-2</v>
      </c>
      <c r="F62" s="49">
        <v>23501.1</v>
      </c>
      <c r="G62" s="21">
        <f t="shared" si="3"/>
        <v>1.5128528569481325E-3</v>
      </c>
    </row>
    <row r="63" spans="2:7" x14ac:dyDescent="0.3">
      <c r="B63" s="90">
        <v>45467</v>
      </c>
      <c r="C63" s="49">
        <v>4716.75</v>
      </c>
      <c r="D63" s="21">
        <f t="shared" si="2"/>
        <v>-1.8335640030386013E-2</v>
      </c>
      <c r="F63" s="49">
        <v>24010.6</v>
      </c>
      <c r="G63" s="21">
        <f t="shared" si="3"/>
        <v>2.1679836262983532E-2</v>
      </c>
    </row>
    <row r="64" spans="2:7" x14ac:dyDescent="0.3">
      <c r="B64" s="90">
        <v>45474</v>
      </c>
      <c r="C64" s="49">
        <v>4853.1000000000004</v>
      </c>
      <c r="D64" s="21">
        <f t="shared" si="2"/>
        <v>2.8907616473207165E-2</v>
      </c>
      <c r="F64" s="49">
        <v>24323.85</v>
      </c>
      <c r="G64" s="21">
        <f t="shared" si="3"/>
        <v>1.3046321208133094E-2</v>
      </c>
    </row>
    <row r="65" spans="2:7" x14ac:dyDescent="0.3">
      <c r="B65" s="90">
        <v>45481</v>
      </c>
      <c r="C65" s="49">
        <v>4943.6499999999996</v>
      </c>
      <c r="D65" s="21">
        <f t="shared" si="2"/>
        <v>1.865817724753227E-2</v>
      </c>
      <c r="F65" s="49">
        <v>24502.15</v>
      </c>
      <c r="G65" s="21">
        <f t="shared" si="3"/>
        <v>7.3302540510651326E-3</v>
      </c>
    </row>
    <row r="66" spans="2:7" x14ac:dyDescent="0.3">
      <c r="B66" s="90">
        <v>45488</v>
      </c>
      <c r="C66" s="49">
        <v>5010.7</v>
      </c>
      <c r="D66" s="21">
        <f t="shared" si="2"/>
        <v>1.3562853357337312E-2</v>
      </c>
      <c r="F66" s="49">
        <v>24530.9</v>
      </c>
      <c r="G66" s="21">
        <f t="shared" si="3"/>
        <v>1.1733664188653403E-3</v>
      </c>
    </row>
    <row r="67" spans="2:7" x14ac:dyDescent="0.3">
      <c r="B67" s="90">
        <v>45495</v>
      </c>
      <c r="C67" s="49">
        <v>5071.6000000000004</v>
      </c>
      <c r="D67" s="21">
        <f t="shared" si="2"/>
        <v>1.2153990460414876E-2</v>
      </c>
      <c r="F67" s="49">
        <v>24834.85</v>
      </c>
      <c r="G67" s="21">
        <f t="shared" si="3"/>
        <v>1.2390495252925682E-2</v>
      </c>
    </row>
    <row r="68" spans="2:7" x14ac:dyDescent="0.3">
      <c r="B68" s="90">
        <v>45502</v>
      </c>
      <c r="C68" s="49">
        <v>4909.7</v>
      </c>
      <c r="D68" s="21">
        <f t="shared" si="2"/>
        <v>-3.1922864579225552E-2</v>
      </c>
      <c r="F68" s="49">
        <v>24717.7</v>
      </c>
      <c r="G68" s="21">
        <f t="shared" si="3"/>
        <v>-4.7171615693268887E-3</v>
      </c>
    </row>
    <row r="69" spans="2:7" x14ac:dyDescent="0.3">
      <c r="B69" s="90">
        <v>45509</v>
      </c>
      <c r="C69" s="49">
        <v>4989.95</v>
      </c>
      <c r="D69" s="21">
        <f t="shared" si="2"/>
        <v>1.6345194207385338E-2</v>
      </c>
      <c r="F69" s="49">
        <v>24367.5</v>
      </c>
      <c r="G69" s="21">
        <f t="shared" si="3"/>
        <v>-1.4167984885325113E-2</v>
      </c>
    </row>
    <row r="70" spans="2:7" x14ac:dyDescent="0.3">
      <c r="B70" s="90">
        <v>45516</v>
      </c>
      <c r="C70" s="49">
        <v>5021.3</v>
      </c>
      <c r="D70" s="21">
        <f t="shared" si="2"/>
        <v>6.2826280824457292E-3</v>
      </c>
      <c r="F70" s="49">
        <v>24541.15</v>
      </c>
      <c r="G70" s="21">
        <f t="shared" si="3"/>
        <v>7.1262952703396998E-3</v>
      </c>
    </row>
    <row r="71" spans="2:7" x14ac:dyDescent="0.3">
      <c r="B71" s="90">
        <v>45523</v>
      </c>
      <c r="C71" s="49">
        <v>4901.5</v>
      </c>
      <c r="D71" s="21">
        <f t="shared" si="2"/>
        <v>-2.3858363372035174E-2</v>
      </c>
      <c r="F71" s="49">
        <v>24823.15</v>
      </c>
      <c r="G71" s="21">
        <f t="shared" si="3"/>
        <v>1.1490904052988471E-2</v>
      </c>
    </row>
    <row r="72" spans="2:7" x14ac:dyDescent="0.3">
      <c r="B72" s="90">
        <v>45530</v>
      </c>
      <c r="C72" s="49">
        <v>4927.45</v>
      </c>
      <c r="D72" s="21">
        <f t="shared" si="2"/>
        <v>5.2942976639804851E-3</v>
      </c>
      <c r="F72" s="49">
        <v>25235.9</v>
      </c>
      <c r="G72" s="21">
        <f t="shared" si="3"/>
        <v>1.6627623810837822E-2</v>
      </c>
    </row>
    <row r="73" spans="2:7" x14ac:dyDescent="0.3">
      <c r="B73" s="90">
        <v>45537</v>
      </c>
      <c r="C73" s="49">
        <v>5303.45</v>
      </c>
      <c r="D73" s="21">
        <f t="shared" si="2"/>
        <v>7.630721772925142E-2</v>
      </c>
      <c r="F73" s="49">
        <v>24852.15</v>
      </c>
      <c r="G73" s="21">
        <f t="shared" si="3"/>
        <v>-1.5206511358818231E-2</v>
      </c>
    </row>
    <row r="74" spans="2:7" x14ac:dyDescent="0.3">
      <c r="B74" s="90">
        <v>45544</v>
      </c>
      <c r="C74" s="49">
        <v>5187.05</v>
      </c>
      <c r="D74" s="21">
        <f t="shared" si="2"/>
        <v>-2.194797726008535E-2</v>
      </c>
      <c r="F74" s="49">
        <v>25356.5</v>
      </c>
      <c r="G74" s="21">
        <f t="shared" si="3"/>
        <v>2.0294018827344829E-2</v>
      </c>
    </row>
    <row r="75" spans="2:7" x14ac:dyDescent="0.3">
      <c r="B75" s="90">
        <v>45551</v>
      </c>
      <c r="C75" s="49">
        <v>5320.55</v>
      </c>
      <c r="D75" s="21">
        <f t="shared" si="2"/>
        <v>2.5737172381218532E-2</v>
      </c>
      <c r="F75" s="49">
        <v>25790.95</v>
      </c>
      <c r="G75" s="21">
        <f t="shared" si="3"/>
        <v>1.7133673811448702E-2</v>
      </c>
    </row>
    <row r="76" spans="2:7" x14ac:dyDescent="0.3">
      <c r="B76" s="90">
        <v>45558</v>
      </c>
      <c r="C76" s="49">
        <v>5102.3</v>
      </c>
      <c r="D76" s="21">
        <f t="shared" ref="D76:D107" si="4">C76/C75-1</f>
        <v>-4.102019528056311E-2</v>
      </c>
      <c r="F76" s="49">
        <v>26178.95</v>
      </c>
      <c r="G76" s="21">
        <f t="shared" ref="G76:G107" si="5">F76/F75-1</f>
        <v>1.5044036764834123E-2</v>
      </c>
    </row>
    <row r="77" spans="2:7" x14ac:dyDescent="0.3">
      <c r="B77" s="90">
        <v>45565</v>
      </c>
      <c r="C77" s="49">
        <v>4737.55</v>
      </c>
      <c r="D77" s="21">
        <f t="shared" si="4"/>
        <v>-7.148736844168313E-2</v>
      </c>
      <c r="F77" s="49">
        <v>25014.6</v>
      </c>
      <c r="G77" s="21">
        <f t="shared" si="5"/>
        <v>-4.4476573735768743E-2</v>
      </c>
    </row>
    <row r="78" spans="2:7" x14ac:dyDescent="0.3">
      <c r="B78" s="90">
        <v>45572</v>
      </c>
      <c r="C78" s="49">
        <v>4572.7</v>
      </c>
      <c r="D78" s="21">
        <f t="shared" si="4"/>
        <v>-3.479646652805779E-2</v>
      </c>
      <c r="F78" s="49">
        <v>24964.25</v>
      </c>
      <c r="G78" s="21">
        <f t="shared" si="5"/>
        <v>-2.0128245104857889E-3</v>
      </c>
    </row>
    <row r="79" spans="2:7" x14ac:dyDescent="0.3">
      <c r="B79" s="90">
        <v>45579</v>
      </c>
      <c r="C79" s="49">
        <v>3986.7</v>
      </c>
      <c r="D79" s="21">
        <f t="shared" si="4"/>
        <v>-0.12815185776455928</v>
      </c>
      <c r="F79" s="49">
        <v>24854.05</v>
      </c>
      <c r="G79" s="21">
        <f t="shared" si="5"/>
        <v>-4.4143124668275524E-3</v>
      </c>
    </row>
    <row r="80" spans="2:7" x14ac:dyDescent="0.3">
      <c r="B80" s="90">
        <v>45586</v>
      </c>
      <c r="C80" s="49">
        <v>4052.2</v>
      </c>
      <c r="D80" s="21">
        <f t="shared" si="4"/>
        <v>1.6429628514811778E-2</v>
      </c>
      <c r="F80" s="49">
        <v>24180.799999999999</v>
      </c>
      <c r="G80" s="21">
        <f t="shared" si="5"/>
        <v>-2.7088140564616281E-2</v>
      </c>
    </row>
    <row r="81" spans="2:7" x14ac:dyDescent="0.3">
      <c r="B81" s="90">
        <v>45593</v>
      </c>
      <c r="C81" s="49">
        <v>4001.6</v>
      </c>
      <c r="D81" s="21">
        <f t="shared" si="4"/>
        <v>-1.2487044074823483E-2</v>
      </c>
      <c r="F81" s="49">
        <v>24304.35</v>
      </c>
      <c r="G81" s="21">
        <f t="shared" si="5"/>
        <v>5.1094256600276999E-3</v>
      </c>
    </row>
    <row r="82" spans="2:7" x14ac:dyDescent="0.3">
      <c r="B82" s="90">
        <v>45600</v>
      </c>
      <c r="C82" s="49">
        <v>3874.5</v>
      </c>
      <c r="D82" s="21">
        <f t="shared" si="4"/>
        <v>-3.1762295081967151E-2</v>
      </c>
      <c r="F82" s="49">
        <v>24148.2</v>
      </c>
      <c r="G82" s="21">
        <f t="shared" si="5"/>
        <v>-6.4247758117372822E-3</v>
      </c>
    </row>
    <row r="83" spans="2:7" x14ac:dyDescent="0.3">
      <c r="B83" s="90">
        <v>45607</v>
      </c>
      <c r="C83" s="49">
        <v>3823.85</v>
      </c>
      <c r="D83" s="21">
        <f t="shared" si="4"/>
        <v>-1.3072654536069206E-2</v>
      </c>
      <c r="F83" s="49">
        <v>23532.7</v>
      </c>
      <c r="G83" s="21">
        <f t="shared" si="5"/>
        <v>-2.5488442202731498E-2</v>
      </c>
    </row>
    <row r="84" spans="2:7" x14ac:dyDescent="0.3">
      <c r="B84" s="90">
        <v>45614</v>
      </c>
      <c r="C84" s="49">
        <v>3613.65</v>
      </c>
      <c r="D84" s="21">
        <f t="shared" si="4"/>
        <v>-5.4970775527282689E-2</v>
      </c>
      <c r="F84" s="49">
        <v>23907.25</v>
      </c>
      <c r="G84" s="21">
        <f t="shared" si="5"/>
        <v>1.5916150717937061E-2</v>
      </c>
    </row>
    <row r="85" spans="2:7" x14ac:dyDescent="0.3">
      <c r="B85" s="90">
        <v>45621</v>
      </c>
      <c r="C85" s="49">
        <v>3709.6</v>
      </c>
      <c r="D85" s="21">
        <f t="shared" si="4"/>
        <v>2.6552101061253719E-2</v>
      </c>
      <c r="F85" s="49">
        <v>24131.1</v>
      </c>
      <c r="G85" s="21">
        <f t="shared" si="5"/>
        <v>9.3632684645870157E-3</v>
      </c>
    </row>
    <row r="86" spans="2:7" x14ac:dyDescent="0.3">
      <c r="B86" s="90">
        <v>45628</v>
      </c>
      <c r="C86" s="49">
        <v>3805.55</v>
      </c>
      <c r="D86" s="21">
        <f t="shared" si="4"/>
        <v>2.5865322406728453E-2</v>
      </c>
      <c r="F86" s="49">
        <v>24677.8</v>
      </c>
      <c r="G86" s="21">
        <f t="shared" si="5"/>
        <v>2.2655411481449228E-2</v>
      </c>
    </row>
    <row r="87" spans="2:7" x14ac:dyDescent="0.3">
      <c r="B87" s="90">
        <v>45635</v>
      </c>
      <c r="C87" s="49">
        <v>3652.3</v>
      </c>
      <c r="D87" s="21">
        <f t="shared" si="4"/>
        <v>-4.0270131781214302E-2</v>
      </c>
      <c r="F87" s="49">
        <v>24768.3</v>
      </c>
      <c r="G87" s="21">
        <f t="shared" si="5"/>
        <v>3.6672636944945491E-3</v>
      </c>
    </row>
    <row r="88" spans="2:7" x14ac:dyDescent="0.3">
      <c r="B88" s="90">
        <v>45642</v>
      </c>
      <c r="C88" s="49">
        <v>3408.3</v>
      </c>
      <c r="D88" s="21">
        <f t="shared" si="4"/>
        <v>-6.6807217369876493E-2</v>
      </c>
      <c r="F88" s="49">
        <v>23587.5</v>
      </c>
      <c r="G88" s="21">
        <f t="shared" si="5"/>
        <v>-4.7673841159869612E-2</v>
      </c>
    </row>
    <row r="89" spans="2:7" x14ac:dyDescent="0.3">
      <c r="B89" s="90">
        <v>45649</v>
      </c>
      <c r="C89" s="49">
        <v>3568.35</v>
      </c>
      <c r="D89" s="21">
        <f t="shared" si="4"/>
        <v>4.6958894463515533E-2</v>
      </c>
      <c r="F89" s="49">
        <v>23813.4</v>
      </c>
      <c r="G89" s="21">
        <f t="shared" si="5"/>
        <v>9.5771065182830295E-3</v>
      </c>
    </row>
    <row r="90" spans="2:7" x14ac:dyDescent="0.3">
      <c r="B90" s="90">
        <v>45656</v>
      </c>
      <c r="C90" s="49">
        <v>4025.2</v>
      </c>
      <c r="D90" s="21">
        <f t="shared" si="4"/>
        <v>0.12802836044670496</v>
      </c>
      <c r="F90" s="49">
        <v>24004.75</v>
      </c>
      <c r="G90" s="21">
        <f t="shared" si="5"/>
        <v>8.035391838208783E-3</v>
      </c>
    </row>
    <row r="91" spans="2:7" x14ac:dyDescent="0.3">
      <c r="B91" s="90">
        <v>45663</v>
      </c>
      <c r="C91" s="49">
        <v>3686.25</v>
      </c>
      <c r="D91" s="21">
        <f t="shared" si="4"/>
        <v>-8.4206995925668271E-2</v>
      </c>
      <c r="F91" s="49">
        <v>23431.5</v>
      </c>
      <c r="G91" s="21">
        <f t="shared" si="5"/>
        <v>-2.3880690280048689E-2</v>
      </c>
    </row>
    <row r="92" spans="2:7" x14ac:dyDescent="0.3">
      <c r="B92" s="90">
        <v>45670</v>
      </c>
      <c r="C92" s="49">
        <v>3620.65</v>
      </c>
      <c r="D92" s="21">
        <f t="shared" si="4"/>
        <v>-1.7795863004408274E-2</v>
      </c>
      <c r="F92" s="49">
        <v>23203.200000000001</v>
      </c>
      <c r="G92" s="21">
        <f t="shared" si="5"/>
        <v>-9.7432942833365344E-3</v>
      </c>
    </row>
    <row r="93" spans="2:7" x14ac:dyDescent="0.3">
      <c r="B93" s="90">
        <v>45677</v>
      </c>
      <c r="C93" s="49">
        <v>3579.95</v>
      </c>
      <c r="D93" s="21">
        <f t="shared" si="4"/>
        <v>-1.1241075497493647E-2</v>
      </c>
      <c r="F93" s="49">
        <v>23092.2</v>
      </c>
      <c r="G93" s="21">
        <f t="shared" si="5"/>
        <v>-4.7838229209764549E-3</v>
      </c>
    </row>
    <row r="94" spans="2:7" x14ac:dyDescent="0.3">
      <c r="B94" s="90">
        <v>45684</v>
      </c>
      <c r="C94" s="49">
        <v>4023.75</v>
      </c>
      <c r="D94" s="21">
        <f t="shared" si="4"/>
        <v>0.12396821184653417</v>
      </c>
      <c r="F94" s="49">
        <v>23508.400000000001</v>
      </c>
      <c r="G94" s="21">
        <f t="shared" si="5"/>
        <v>1.8023401841314346E-2</v>
      </c>
    </row>
    <row r="95" spans="2:7" x14ac:dyDescent="0.3">
      <c r="B95" s="90">
        <v>45691</v>
      </c>
      <c r="C95" s="49">
        <v>3743.5</v>
      </c>
      <c r="D95" s="21">
        <f t="shared" si="4"/>
        <v>-6.964895930413173E-2</v>
      </c>
      <c r="F95" s="49">
        <v>23559.95</v>
      </c>
      <c r="G95" s="21">
        <f t="shared" si="5"/>
        <v>2.1928332000475947E-3</v>
      </c>
    </row>
    <row r="96" spans="2:7" x14ac:dyDescent="0.3">
      <c r="B96" s="90">
        <v>45698</v>
      </c>
      <c r="C96" s="49">
        <v>3682.65</v>
      </c>
      <c r="D96" s="21">
        <f t="shared" si="4"/>
        <v>-1.6254841725657831E-2</v>
      </c>
      <c r="F96" s="49">
        <v>22929.25</v>
      </c>
      <c r="G96" s="21">
        <f t="shared" si="5"/>
        <v>-2.6770005878620329E-2</v>
      </c>
    </row>
    <row r="97" spans="2:7" x14ac:dyDescent="0.3">
      <c r="B97" s="90">
        <v>45705</v>
      </c>
      <c r="C97" s="49">
        <v>3596.7</v>
      </c>
      <c r="D97" s="21">
        <f t="shared" si="4"/>
        <v>-2.3339171520508351E-2</v>
      </c>
      <c r="F97" s="49">
        <v>22795.9</v>
      </c>
      <c r="G97" s="21">
        <f t="shared" si="5"/>
        <v>-5.8157157342695331E-3</v>
      </c>
    </row>
    <row r="98" spans="2:7" x14ac:dyDescent="0.3">
      <c r="B98" s="90">
        <v>45712</v>
      </c>
      <c r="C98" s="49">
        <v>3403.95</v>
      </c>
      <c r="D98" s="21">
        <f t="shared" si="4"/>
        <v>-5.3590791558928985E-2</v>
      </c>
      <c r="F98" s="49">
        <v>22124.7</v>
      </c>
      <c r="G98" s="21">
        <f t="shared" si="5"/>
        <v>-2.9443891226053842E-2</v>
      </c>
    </row>
    <row r="99" spans="2:7" x14ac:dyDescent="0.3">
      <c r="B99" s="90">
        <v>45719</v>
      </c>
      <c r="C99" s="49">
        <v>3593.6</v>
      </c>
      <c r="D99" s="21">
        <f t="shared" si="4"/>
        <v>5.5714684410758109E-2</v>
      </c>
      <c r="F99" s="49">
        <v>22552.5</v>
      </c>
      <c r="G99" s="21">
        <f t="shared" si="5"/>
        <v>1.9335855401429125E-2</v>
      </c>
    </row>
    <row r="100" spans="2:7" x14ac:dyDescent="0.3">
      <c r="B100" s="90">
        <v>45726</v>
      </c>
      <c r="C100" s="49">
        <v>3797.1</v>
      </c>
      <c r="D100" s="21">
        <f t="shared" si="4"/>
        <v>5.6628450578806833E-2</v>
      </c>
      <c r="F100" s="49">
        <v>22397.200000000001</v>
      </c>
      <c r="G100" s="21">
        <f t="shared" si="5"/>
        <v>-6.8861545283227521E-3</v>
      </c>
    </row>
    <row r="101" spans="2:7" x14ac:dyDescent="0.3">
      <c r="B101" s="90">
        <v>45733</v>
      </c>
      <c r="C101" s="49">
        <v>3892.2</v>
      </c>
      <c r="D101" s="21">
        <f t="shared" si="4"/>
        <v>2.5045429406652442E-2</v>
      </c>
      <c r="F101" s="49">
        <v>23350.400000000001</v>
      </c>
      <c r="G101" s="21">
        <f t="shared" si="5"/>
        <v>4.2558891289982803E-2</v>
      </c>
    </row>
    <row r="102" spans="2:7" x14ac:dyDescent="0.3">
      <c r="B102" s="90">
        <v>45740</v>
      </c>
      <c r="C102" s="49">
        <v>4083.2</v>
      </c>
      <c r="D102" s="21">
        <f t="shared" si="4"/>
        <v>4.9072503982323656E-2</v>
      </c>
      <c r="F102" s="49">
        <v>23519.35</v>
      </c>
      <c r="G102" s="21">
        <f t="shared" si="5"/>
        <v>7.2354220912702605E-3</v>
      </c>
    </row>
    <row r="103" spans="2:7" x14ac:dyDescent="0.3">
      <c r="B103" s="90">
        <v>45747</v>
      </c>
      <c r="C103" s="49">
        <v>4039.9</v>
      </c>
      <c r="D103" s="21">
        <f t="shared" si="4"/>
        <v>-1.0604427899686408E-2</v>
      </c>
      <c r="F103" s="49">
        <v>22904.45</v>
      </c>
      <c r="G103" s="21">
        <f t="shared" si="5"/>
        <v>-2.6144430011883713E-2</v>
      </c>
    </row>
    <row r="104" spans="2:7" x14ac:dyDescent="0.3">
      <c r="B104" s="90">
        <v>45754</v>
      </c>
      <c r="C104" s="49">
        <v>4131.5</v>
      </c>
      <c r="D104" s="21">
        <f t="shared" si="4"/>
        <v>2.2673828560112907E-2</v>
      </c>
      <c r="F104" s="49">
        <v>22828.55</v>
      </c>
      <c r="G104" s="21">
        <f t="shared" si="5"/>
        <v>-3.3137665388167648E-3</v>
      </c>
    </row>
    <row r="105" spans="2:7" x14ac:dyDescent="0.3">
      <c r="B105" s="90">
        <v>45761</v>
      </c>
      <c r="C105" s="49">
        <v>4357.1000000000004</v>
      </c>
      <c r="D105" s="21">
        <f t="shared" si="4"/>
        <v>5.4604865061115948E-2</v>
      </c>
      <c r="F105" s="49">
        <v>23851.65</v>
      </c>
      <c r="G105" s="21">
        <f t="shared" si="5"/>
        <v>4.4816687875489425E-2</v>
      </c>
    </row>
    <row r="106" spans="2:7" x14ac:dyDescent="0.3">
      <c r="B106" s="90">
        <v>45768</v>
      </c>
      <c r="C106" s="49">
        <v>4375.2</v>
      </c>
      <c r="D106" s="21">
        <f t="shared" si="4"/>
        <v>4.154139221041353E-3</v>
      </c>
      <c r="F106" s="49">
        <v>24039.35</v>
      </c>
      <c r="G106" s="21">
        <f t="shared" si="5"/>
        <v>7.86947653516612E-3</v>
      </c>
    </row>
    <row r="107" spans="2:7" x14ac:dyDescent="0.3">
      <c r="B107" s="90">
        <v>45775</v>
      </c>
      <c r="C107" s="49">
        <v>4042.2</v>
      </c>
      <c r="D107" s="21">
        <f t="shared" si="4"/>
        <v>-7.6110806363137717E-2</v>
      </c>
      <c r="F107" s="49">
        <v>24346.7</v>
      </c>
      <c r="G107" s="21">
        <f t="shared" si="5"/>
        <v>1.2785287455775673E-2</v>
      </c>
    </row>
    <row r="108" spans="2:7" x14ac:dyDescent="0.3">
      <c r="B108" s="90">
        <v>45782</v>
      </c>
      <c r="C108" s="49">
        <v>3972.4</v>
      </c>
      <c r="D108" s="21">
        <f t="shared" ref="D108:D116" si="6">C108/C107-1</f>
        <v>-1.7267824452031011E-2</v>
      </c>
      <c r="F108" s="49">
        <v>24008</v>
      </c>
      <c r="G108" s="21">
        <f t="shared" ref="G108:G116" si="7">F108/F107-1</f>
        <v>-1.391153626569519E-2</v>
      </c>
    </row>
    <row r="109" spans="2:7" x14ac:dyDescent="0.3">
      <c r="B109" s="90">
        <v>45789</v>
      </c>
      <c r="C109" s="49">
        <v>4189.7</v>
      </c>
      <c r="D109" s="21">
        <f t="shared" si="6"/>
        <v>5.4702446883496014E-2</v>
      </c>
      <c r="F109" s="49">
        <v>25019.8</v>
      </c>
      <c r="G109" s="21">
        <f t="shared" si="7"/>
        <v>4.2144285238253865E-2</v>
      </c>
    </row>
    <row r="110" spans="2:7" x14ac:dyDescent="0.3">
      <c r="B110" s="90">
        <v>45796</v>
      </c>
      <c r="C110" s="49">
        <v>4140.8</v>
      </c>
      <c r="D110" s="21">
        <f t="shared" si="6"/>
        <v>-1.1671480058237926E-2</v>
      </c>
      <c r="F110" s="49">
        <v>24853.15</v>
      </c>
      <c r="G110" s="21">
        <f t="shared" si="7"/>
        <v>-6.660724706032739E-3</v>
      </c>
    </row>
    <row r="111" spans="2:7" x14ac:dyDescent="0.3">
      <c r="B111" s="90">
        <v>45803</v>
      </c>
      <c r="C111" s="49">
        <v>4002.1</v>
      </c>
      <c r="D111" s="21">
        <f t="shared" si="6"/>
        <v>-3.3495942812983071E-2</v>
      </c>
      <c r="F111" s="49">
        <v>24750.7</v>
      </c>
      <c r="G111" s="21">
        <f t="shared" si="7"/>
        <v>-4.1222138843567402E-3</v>
      </c>
    </row>
    <row r="112" spans="2:7" x14ac:dyDescent="0.3">
      <c r="B112" s="90">
        <v>45810</v>
      </c>
      <c r="C112" s="49">
        <v>4201.6000000000004</v>
      </c>
      <c r="D112" s="21">
        <f t="shared" si="6"/>
        <v>4.9848829364583791E-2</v>
      </c>
      <c r="F112" s="49">
        <v>25003.05</v>
      </c>
      <c r="G112" s="21">
        <f t="shared" si="7"/>
        <v>1.0195671233540704E-2</v>
      </c>
    </row>
    <row r="113" spans="2:7" x14ac:dyDescent="0.3">
      <c r="B113" s="90">
        <v>45817</v>
      </c>
      <c r="C113" s="49">
        <v>4051.9</v>
      </c>
      <c r="D113" s="21">
        <f t="shared" si="6"/>
        <v>-3.5629284082254409E-2</v>
      </c>
      <c r="F113" s="49">
        <v>24718.6</v>
      </c>
      <c r="G113" s="21">
        <f t="shared" si="7"/>
        <v>-1.1376612053329516E-2</v>
      </c>
    </row>
    <row r="114" spans="2:7" x14ac:dyDescent="0.3">
      <c r="B114" s="90">
        <v>45824</v>
      </c>
      <c r="C114" s="49">
        <v>4300.3</v>
      </c>
      <c r="D114" s="21">
        <f t="shared" si="6"/>
        <v>6.1304573163207365E-2</v>
      </c>
      <c r="F114" s="49">
        <v>25112.400000000001</v>
      </c>
      <c r="G114" s="21">
        <f t="shared" si="7"/>
        <v>1.5931322971365791E-2</v>
      </c>
    </row>
    <row r="115" spans="2:7" x14ac:dyDescent="0.3">
      <c r="B115" s="90">
        <v>45831</v>
      </c>
      <c r="C115" s="49">
        <v>4315.3999999999996</v>
      </c>
      <c r="D115" s="21">
        <f t="shared" si="6"/>
        <v>3.5113829267723329E-3</v>
      </c>
      <c r="F115" s="49">
        <v>25549</v>
      </c>
      <c r="G115" s="21">
        <f t="shared" si="7"/>
        <v>1.7385833293512398E-2</v>
      </c>
    </row>
    <row r="116" spans="2:7" x14ac:dyDescent="0.3">
      <c r="B116" s="90">
        <v>45835</v>
      </c>
      <c r="C116" s="49">
        <v>4313.5</v>
      </c>
      <c r="D116" s="21">
        <f t="shared" si="6"/>
        <v>-4.402836353524231E-4</v>
      </c>
      <c r="F116" s="49">
        <v>25637.8</v>
      </c>
      <c r="G116" s="21">
        <f t="shared" si="7"/>
        <v>3.4756741946846414E-3</v>
      </c>
    </row>
  </sheetData>
  <mergeCells count="6">
    <mergeCell ref="I20:J20"/>
    <mergeCell ref="B8:D8"/>
    <mergeCell ref="B6:D6"/>
    <mergeCell ref="F8:G8"/>
    <mergeCell ref="L8:M8"/>
    <mergeCell ref="I8:J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2798-56AE-4C4F-9D68-5D64DACEB065}">
  <sheetPr>
    <tabColor rgb="FF002060"/>
  </sheetPr>
  <dimension ref="A1:L11"/>
  <sheetViews>
    <sheetView showGridLines="0" workbookViewId="0">
      <selection activeCell="L4" sqref="B1:L4"/>
    </sheetView>
  </sheetViews>
  <sheetFormatPr defaultRowHeight="14.4" x14ac:dyDescent="0.3"/>
  <cols>
    <col min="1" max="1" width="1.88671875" style="89" customWidth="1"/>
    <col min="2" max="2" width="5.44140625" bestFit="1" customWidth="1"/>
    <col min="3" max="3" width="13.44140625" bestFit="1" customWidth="1"/>
    <col min="4" max="4" width="7.6640625" bestFit="1" customWidth="1"/>
    <col min="5" max="5" width="13.6640625" bestFit="1" customWidth="1"/>
    <col min="6" max="6" width="10.109375" bestFit="1" customWidth="1"/>
    <col min="7" max="7" width="8.5546875" bestFit="1" customWidth="1"/>
  </cols>
  <sheetData>
    <row r="1" spans="2:12" x14ac:dyDescent="0.3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2:12" x14ac:dyDescent="0.3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</row>
    <row r="3" spans="2:12" x14ac:dyDescent="0.3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</row>
    <row r="4" spans="2:12" x14ac:dyDescent="0.3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</row>
    <row r="6" spans="2:12" x14ac:dyDescent="0.3">
      <c r="B6" s="45" t="s">
        <v>202</v>
      </c>
      <c r="C6" t="s">
        <v>201</v>
      </c>
      <c r="D6" t="s">
        <v>200</v>
      </c>
      <c r="E6" t="s">
        <v>199</v>
      </c>
      <c r="F6" t="s">
        <v>198</v>
      </c>
      <c r="G6" t="s">
        <v>197</v>
      </c>
    </row>
    <row r="7" spans="2:12" x14ac:dyDescent="0.3">
      <c r="B7" s="45">
        <v>1</v>
      </c>
      <c r="C7" t="s">
        <v>196</v>
      </c>
      <c r="D7">
        <v>4313.5</v>
      </c>
      <c r="E7">
        <v>280693.71000000002</v>
      </c>
      <c r="F7">
        <v>819.62</v>
      </c>
      <c r="G7">
        <v>0.04</v>
      </c>
    </row>
    <row r="8" spans="2:12" x14ac:dyDescent="0.3">
      <c r="B8" s="45">
        <v>2</v>
      </c>
      <c r="C8" t="s">
        <v>195</v>
      </c>
      <c r="D8">
        <v>261.86</v>
      </c>
      <c r="E8">
        <v>252704.08</v>
      </c>
      <c r="F8">
        <v>2045</v>
      </c>
      <c r="G8">
        <v>7.0000000000000007E-2</v>
      </c>
    </row>
    <row r="9" spans="2:12" x14ac:dyDescent="0.3">
      <c r="B9" s="45">
        <v>3</v>
      </c>
      <c r="C9" t="s">
        <v>194</v>
      </c>
      <c r="D9">
        <v>6019.5</v>
      </c>
      <c r="E9">
        <v>213985.68</v>
      </c>
      <c r="F9">
        <v>2237.19</v>
      </c>
      <c r="G9">
        <v>0.41</v>
      </c>
    </row>
    <row r="10" spans="2:12" x14ac:dyDescent="0.3">
      <c r="B10" s="45">
        <v>4</v>
      </c>
      <c r="C10" t="s">
        <v>193</v>
      </c>
      <c r="D10">
        <v>209.86</v>
      </c>
      <c r="E10">
        <v>60013.58</v>
      </c>
      <c r="F10">
        <v>1320.59</v>
      </c>
      <c r="G10">
        <v>1.01</v>
      </c>
    </row>
    <row r="11" spans="2:12" x14ac:dyDescent="0.3">
      <c r="B11" s="45">
        <v>5</v>
      </c>
      <c r="C11" t="s">
        <v>192</v>
      </c>
      <c r="D11">
        <v>804.05</v>
      </c>
      <c r="E11">
        <v>19534.349999999999</v>
      </c>
      <c r="F11">
        <v>482.9</v>
      </c>
      <c r="G11">
        <v>0.27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2747-84E7-45B1-816E-610074088616}">
  <dimension ref="B1:K33"/>
  <sheetViews>
    <sheetView showGridLines="0" topLeftCell="A2" workbookViewId="0"/>
  </sheetViews>
  <sheetFormatPr defaultRowHeight="14.4" x14ac:dyDescent="0.3"/>
  <cols>
    <col min="1" max="1" width="1.88671875" customWidth="1"/>
  </cols>
  <sheetData>
    <row r="1" spans="2:11" x14ac:dyDescent="0.3"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2:11" x14ac:dyDescent="0.3">
      <c r="B2" s="88"/>
      <c r="C2" s="88"/>
      <c r="D2" s="88"/>
      <c r="E2" s="88"/>
      <c r="F2" s="88"/>
      <c r="G2" s="88"/>
      <c r="H2" s="88"/>
      <c r="I2" s="88"/>
      <c r="J2" s="88"/>
      <c r="K2" s="88"/>
    </row>
    <row r="3" spans="2:11" x14ac:dyDescent="0.3">
      <c r="B3" s="88"/>
      <c r="C3" s="88"/>
      <c r="D3" s="88"/>
      <c r="E3" s="88"/>
      <c r="F3" s="88"/>
      <c r="G3" s="88"/>
      <c r="H3" s="88"/>
      <c r="I3" s="88"/>
      <c r="J3" s="88"/>
      <c r="K3" s="88"/>
    </row>
    <row r="4" spans="2:11" x14ac:dyDescent="0.3">
      <c r="B4" s="88"/>
      <c r="C4" s="88"/>
      <c r="D4" s="88"/>
      <c r="E4" s="88"/>
      <c r="F4" s="88"/>
      <c r="G4" s="88"/>
      <c r="H4" s="88"/>
      <c r="I4" s="88"/>
      <c r="J4" s="88"/>
      <c r="K4" s="88"/>
    </row>
    <row r="6" spans="2:11" x14ac:dyDescent="0.3">
      <c r="B6" s="152" t="s">
        <v>252</v>
      </c>
      <c r="C6" s="152"/>
    </row>
    <row r="8" spans="2:11" x14ac:dyDescent="0.3">
      <c r="B8" s="104" t="s">
        <v>251</v>
      </c>
      <c r="C8" s="103" t="s">
        <v>250</v>
      </c>
      <c r="E8" t="s">
        <v>249</v>
      </c>
      <c r="G8" s="94">
        <f>AVERAGE(C9:C33)</f>
        <v>0.15334799999999998</v>
      </c>
    </row>
    <row r="9" spans="2:11" ht="16.2" x14ac:dyDescent="0.3">
      <c r="B9" s="45">
        <v>2000</v>
      </c>
      <c r="C9" s="100">
        <v>-0.14649999999999999</v>
      </c>
      <c r="E9" t="s">
        <v>248</v>
      </c>
      <c r="G9" s="102" t="s">
        <v>247</v>
      </c>
    </row>
    <row r="10" spans="2:11" x14ac:dyDescent="0.3">
      <c r="B10" s="45">
        <v>2001</v>
      </c>
      <c r="C10" s="100">
        <v>-0.1618</v>
      </c>
      <c r="E10" s="22" t="s">
        <v>246</v>
      </c>
      <c r="F10" s="22"/>
      <c r="G10" s="101">
        <f>SUM(G8:G9)</f>
        <v>0.15334799999999998</v>
      </c>
    </row>
    <row r="11" spans="2:11" x14ac:dyDescent="0.3">
      <c r="B11" s="45">
        <v>2002</v>
      </c>
      <c r="C11" s="100">
        <v>3.2500000000000001E-2</v>
      </c>
    </row>
    <row r="12" spans="2:11" x14ac:dyDescent="0.3">
      <c r="B12" s="45">
        <v>2003</v>
      </c>
      <c r="C12" s="100">
        <v>0.71900000000000008</v>
      </c>
    </row>
    <row r="13" spans="2:11" x14ac:dyDescent="0.3">
      <c r="B13" s="45">
        <v>2004</v>
      </c>
      <c r="C13" s="100">
        <v>0.10679999999999999</v>
      </c>
    </row>
    <row r="14" spans="2:11" x14ac:dyDescent="0.3">
      <c r="B14" s="45">
        <v>2005</v>
      </c>
      <c r="C14" s="100">
        <v>0.36340000000000006</v>
      </c>
    </row>
    <row r="15" spans="2:11" x14ac:dyDescent="0.3">
      <c r="B15" s="45">
        <v>2006</v>
      </c>
      <c r="C15" s="100">
        <v>0.39829999999999999</v>
      </c>
    </row>
    <row r="16" spans="2:11" x14ac:dyDescent="0.3">
      <c r="B16" s="45">
        <v>2007</v>
      </c>
      <c r="C16" s="100">
        <v>0.54770000000000008</v>
      </c>
    </row>
    <row r="17" spans="2:3" x14ac:dyDescent="0.3">
      <c r="B17" s="45">
        <v>2008</v>
      </c>
      <c r="C17" s="100">
        <v>-0.51790000000000003</v>
      </c>
    </row>
    <row r="18" spans="2:3" x14ac:dyDescent="0.3">
      <c r="B18" s="45">
        <v>2009</v>
      </c>
      <c r="C18" s="100">
        <v>0.75760000000000005</v>
      </c>
    </row>
    <row r="19" spans="2:3" x14ac:dyDescent="0.3">
      <c r="B19" s="45">
        <v>2010</v>
      </c>
      <c r="C19" s="100">
        <v>0.17949999999999999</v>
      </c>
    </row>
    <row r="20" spans="2:3" x14ac:dyDescent="0.3">
      <c r="B20" s="45">
        <v>2011</v>
      </c>
      <c r="C20" s="100">
        <v>-0.2462</v>
      </c>
    </row>
    <row r="21" spans="2:3" x14ac:dyDescent="0.3">
      <c r="B21" s="45">
        <v>2012</v>
      </c>
      <c r="C21" s="100">
        <v>0.27699999999999997</v>
      </c>
    </row>
    <row r="22" spans="2:3" x14ac:dyDescent="0.3">
      <c r="B22" s="45">
        <v>2013</v>
      </c>
      <c r="C22" s="100">
        <v>6.7599999999999993E-2</v>
      </c>
    </row>
    <row r="23" spans="2:3" x14ac:dyDescent="0.3">
      <c r="B23" s="45">
        <v>2014</v>
      </c>
      <c r="C23" s="100">
        <v>0.31390000000000001</v>
      </c>
    </row>
    <row r="24" spans="2:3" x14ac:dyDescent="0.3">
      <c r="B24" s="45">
        <v>2015</v>
      </c>
      <c r="C24" s="100">
        <v>-4.0599999999999997E-2</v>
      </c>
    </row>
    <row r="25" spans="2:3" x14ac:dyDescent="0.3">
      <c r="B25" s="45">
        <v>2016</v>
      </c>
      <c r="C25" s="100">
        <v>3.0099999999999998E-2</v>
      </c>
    </row>
    <row r="26" spans="2:3" x14ac:dyDescent="0.3">
      <c r="B26" s="45">
        <v>2017</v>
      </c>
      <c r="C26" s="100">
        <v>0.28649999999999998</v>
      </c>
    </row>
    <row r="27" spans="2:3" x14ac:dyDescent="0.3">
      <c r="B27" s="45">
        <v>2018</v>
      </c>
      <c r="C27" s="100">
        <v>3.15E-2</v>
      </c>
    </row>
    <row r="28" spans="2:3" x14ac:dyDescent="0.3">
      <c r="B28" s="45">
        <v>2019</v>
      </c>
      <c r="C28" s="100">
        <v>0.1202</v>
      </c>
    </row>
    <row r="29" spans="2:3" x14ac:dyDescent="0.3">
      <c r="B29" s="45">
        <v>2020</v>
      </c>
      <c r="C29" s="100">
        <v>0.14899999999999999</v>
      </c>
    </row>
    <row r="30" spans="2:3" x14ac:dyDescent="0.3">
      <c r="B30" s="45">
        <v>2021</v>
      </c>
      <c r="C30" s="100">
        <v>0.2412</v>
      </c>
    </row>
    <row r="31" spans="2:3" x14ac:dyDescent="0.3">
      <c r="B31" s="45">
        <v>2022</v>
      </c>
      <c r="C31" s="100">
        <v>4.3200000000000002E-2</v>
      </c>
    </row>
    <row r="32" spans="2:3" x14ac:dyDescent="0.3">
      <c r="B32" s="45">
        <v>2023</v>
      </c>
      <c r="C32" s="100">
        <v>0.19420000000000001</v>
      </c>
    </row>
    <row r="33" spans="2:3" x14ac:dyDescent="0.3">
      <c r="B33" s="45">
        <v>2024</v>
      </c>
      <c r="C33" s="100">
        <v>8.7499999999999994E-2</v>
      </c>
    </row>
  </sheetData>
  <mergeCells count="1">
    <mergeCell ref="B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EEEA-D95B-4D92-B01F-4D814D5D08EC}">
  <dimension ref="A1:L67"/>
  <sheetViews>
    <sheetView showGridLines="0" workbookViewId="0">
      <pane ySplit="6" topLeftCell="A7" activePane="bottomLeft" state="frozen"/>
      <selection pane="bottomLeft" activeCell="O13" sqref="O13"/>
    </sheetView>
  </sheetViews>
  <sheetFormatPr defaultRowHeight="14.4" x14ac:dyDescent="0.3"/>
  <cols>
    <col min="1" max="1" width="1.88671875" customWidth="1"/>
    <col min="9" max="9" width="9.6640625" bestFit="1" customWidth="1"/>
    <col min="10" max="10" width="10.33203125" customWidth="1"/>
    <col min="11" max="11" width="13.5546875" bestFit="1" customWidth="1"/>
    <col min="12" max="12" width="11.33203125" customWidth="1"/>
  </cols>
  <sheetData>
    <row r="1" spans="2:12" x14ac:dyDescent="0.3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2:12" x14ac:dyDescent="0.3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</row>
    <row r="3" spans="2:12" x14ac:dyDescent="0.3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</row>
    <row r="4" spans="2:12" x14ac:dyDescent="0.3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</row>
    <row r="6" spans="2:12" x14ac:dyDescent="0.3">
      <c r="B6" s="110" t="s">
        <v>283</v>
      </c>
      <c r="C6" s="123"/>
      <c r="D6" s="123"/>
      <c r="E6" s="123"/>
      <c r="F6" s="123"/>
      <c r="G6" s="123"/>
      <c r="H6" s="124">
        <f>RawFS!J2</f>
        <v>44256</v>
      </c>
      <c r="I6" s="124">
        <f>RawFS!K2</f>
        <v>44621</v>
      </c>
      <c r="J6" s="124">
        <f>RawFS!L2</f>
        <v>44986</v>
      </c>
      <c r="K6" s="124">
        <f>RawFS!M2</f>
        <v>45352</v>
      </c>
      <c r="L6" s="124">
        <f>RawFS!N2</f>
        <v>45717</v>
      </c>
    </row>
    <row r="8" spans="2:12" x14ac:dyDescent="0.3">
      <c r="B8" s="22" t="s">
        <v>284</v>
      </c>
    </row>
    <row r="9" spans="2:12" x14ac:dyDescent="0.3">
      <c r="B9" s="125" t="str">
        <f>RawFS!B33</f>
        <v>Inventories</v>
      </c>
      <c r="C9" s="125"/>
      <c r="D9" s="125"/>
      <c r="E9" s="125"/>
      <c r="F9" s="125"/>
      <c r="G9" s="125"/>
      <c r="H9" s="131">
        <f>RawFS!J33</f>
        <v>3799</v>
      </c>
      <c r="I9" s="131">
        <f>RawFS!K33</f>
        <v>6153</v>
      </c>
      <c r="J9" s="131">
        <f>RawFS!L33</f>
        <v>6211</v>
      </c>
      <c r="K9" s="131">
        <f>RawFS!M33</f>
        <v>5923</v>
      </c>
      <c r="L9" s="131">
        <f>RawFS!N33</f>
        <v>6719</v>
      </c>
    </row>
    <row r="10" spans="2:12" x14ac:dyDescent="0.3">
      <c r="B10" s="125" t="str">
        <f>RawFS!B34</f>
        <v>Trade receivables +</v>
      </c>
      <c r="C10" s="125"/>
      <c r="D10" s="125"/>
      <c r="E10" s="125"/>
      <c r="F10" s="125"/>
      <c r="G10" s="125"/>
      <c r="H10" s="131">
        <f>RawFS!J34</f>
        <v>2602</v>
      </c>
      <c r="I10" s="131">
        <f>RawFS!K34</f>
        <v>3871</v>
      </c>
      <c r="J10" s="131">
        <f>RawFS!L34</f>
        <v>4637</v>
      </c>
      <c r="K10" s="131">
        <f>RawFS!M34</f>
        <v>4889</v>
      </c>
      <c r="L10" s="131">
        <f>RawFS!N34</f>
        <v>4314</v>
      </c>
    </row>
    <row r="11" spans="2:12" x14ac:dyDescent="0.3">
      <c r="B11" s="125" t="str">
        <f>RawFS!B36</f>
        <v>Loans n Advances</v>
      </c>
      <c r="C11" s="125"/>
      <c r="D11" s="125"/>
      <c r="E11" s="125"/>
      <c r="F11" s="125"/>
      <c r="G11" s="125"/>
      <c r="H11" s="131">
        <f>RawFS!J36</f>
        <v>11</v>
      </c>
      <c r="I11" s="131">
        <f>RawFS!K36</f>
        <v>8</v>
      </c>
      <c r="J11" s="131">
        <f>RawFS!L36</f>
        <v>12</v>
      </c>
      <c r="K11" s="131">
        <f>RawFS!M36</f>
        <v>17</v>
      </c>
      <c r="L11" s="131">
        <f>RawFS!N36</f>
        <v>22</v>
      </c>
    </row>
    <row r="12" spans="2:12" x14ac:dyDescent="0.3">
      <c r="B12" t="str">
        <f>RawFS!B37</f>
        <v>Other asset items</v>
      </c>
      <c r="H12" s="132">
        <f>RawFS!J37</f>
        <v>2555</v>
      </c>
      <c r="I12" s="132">
        <f>RawFS!K37</f>
        <v>2869</v>
      </c>
      <c r="J12" s="132">
        <f>RawFS!L37</f>
        <v>3024</v>
      </c>
      <c r="K12" s="132">
        <f>RawFS!M37</f>
        <v>3555</v>
      </c>
      <c r="L12" s="132">
        <f>RawFS!N37</f>
        <v>3319</v>
      </c>
    </row>
    <row r="13" spans="2:12" x14ac:dyDescent="0.3">
      <c r="B13" s="76" t="s">
        <v>84</v>
      </c>
      <c r="C13" s="84"/>
      <c r="D13" s="84"/>
      <c r="E13" s="84"/>
      <c r="F13" s="84"/>
      <c r="G13" s="84"/>
      <c r="H13" s="133">
        <f>SUM(H9:H12)</f>
        <v>8967</v>
      </c>
      <c r="I13" s="133">
        <f>SUM(I9:I12)</f>
        <v>12901</v>
      </c>
      <c r="J13" s="133">
        <f>SUM(J9:J12)</f>
        <v>13884</v>
      </c>
      <c r="K13" s="133">
        <f>SUM(K9:K12)</f>
        <v>14384</v>
      </c>
      <c r="L13" s="133">
        <f t="shared" ref="L13" si="0">SUM(L9:L12)</f>
        <v>14374</v>
      </c>
    </row>
    <row r="15" spans="2:12" x14ac:dyDescent="0.3">
      <c r="B15" s="22" t="s">
        <v>285</v>
      </c>
    </row>
    <row r="16" spans="2:12" x14ac:dyDescent="0.3">
      <c r="B16" s="125" t="str">
        <f>RawFS!B13</f>
        <v>Trade Payables</v>
      </c>
      <c r="C16" s="125"/>
      <c r="D16" s="125"/>
      <c r="E16" s="125"/>
      <c r="F16" s="125"/>
      <c r="G16" s="125"/>
      <c r="H16" s="131">
        <f>RawFS!J13</f>
        <v>3379</v>
      </c>
      <c r="I16" s="131">
        <f>RawFS!K13</f>
        <v>4164</v>
      </c>
      <c r="J16" s="131">
        <f>RawFS!L13</f>
        <v>3635</v>
      </c>
      <c r="K16" s="131">
        <f>RawFS!M13</f>
        <v>3831</v>
      </c>
      <c r="L16" s="131">
        <f>RawFS!N13</f>
        <v>3848</v>
      </c>
    </row>
    <row r="17" spans="1:12" x14ac:dyDescent="0.3">
      <c r="B17" s="125" t="str">
        <f>RawFS!B14</f>
        <v>Advance from Customers</v>
      </c>
      <c r="C17" s="125"/>
      <c r="D17" s="125"/>
      <c r="E17" s="125"/>
      <c r="F17" s="125"/>
      <c r="G17" s="125"/>
      <c r="H17" s="131">
        <f>RawFS!J14</f>
        <v>41</v>
      </c>
      <c r="I17" s="131">
        <f>RawFS!K14</f>
        <v>76</v>
      </c>
      <c r="J17" s="131">
        <f>RawFS!L14</f>
        <v>108</v>
      </c>
      <c r="K17" s="131">
        <f>RawFS!M14</f>
        <v>154</v>
      </c>
      <c r="L17" s="131">
        <f>RawFS!N14</f>
        <v>173</v>
      </c>
    </row>
    <row r="18" spans="1:12" x14ac:dyDescent="0.3">
      <c r="B18" s="125" t="str">
        <f>RawFS!B15</f>
        <v>Other liability items</v>
      </c>
      <c r="C18" s="125"/>
      <c r="D18" s="125"/>
      <c r="E18" s="125"/>
      <c r="F18" s="125"/>
      <c r="G18" s="125"/>
      <c r="H18" s="131">
        <f>RawFS!J15</f>
        <v>2613</v>
      </c>
      <c r="I18" s="131">
        <f>RawFS!K15</f>
        <v>2932</v>
      </c>
      <c r="J18" s="131">
        <f>RawFS!L15</f>
        <v>3657</v>
      </c>
      <c r="K18" s="131">
        <f>RawFS!M15</f>
        <v>4017</v>
      </c>
      <c r="L18" s="131">
        <f>RawFS!N15</f>
        <v>3985</v>
      </c>
    </row>
    <row r="19" spans="1:12" x14ac:dyDescent="0.3">
      <c r="B19" s="76" t="s">
        <v>84</v>
      </c>
      <c r="C19" s="84"/>
      <c r="D19" s="84"/>
      <c r="E19" s="84"/>
      <c r="F19" s="84"/>
      <c r="G19" s="84"/>
      <c r="H19" s="133">
        <f>SUM(H16:H18)</f>
        <v>6033</v>
      </c>
      <c r="I19" s="133">
        <f>SUM(I16:I18)</f>
        <v>7172</v>
      </c>
      <c r="J19" s="133">
        <f>SUM(J16:J18)</f>
        <v>7400</v>
      </c>
      <c r="K19" s="133">
        <f>SUM(K16:K18)</f>
        <v>8002</v>
      </c>
      <c r="L19" s="133">
        <f>SUM(L16:L18)</f>
        <v>8006</v>
      </c>
    </row>
    <row r="20" spans="1:12" x14ac:dyDescent="0.3">
      <c r="H20" s="132"/>
      <c r="I20" s="132"/>
      <c r="J20" s="132"/>
      <c r="K20" s="132"/>
      <c r="L20" s="132"/>
    </row>
    <row r="21" spans="1:12" ht="15" thickBot="1" x14ac:dyDescent="0.35">
      <c r="A21" t="s">
        <v>55</v>
      </c>
      <c r="B21" s="126" t="s">
        <v>286</v>
      </c>
      <c r="C21" s="127"/>
      <c r="D21" s="127"/>
      <c r="E21" s="127"/>
      <c r="F21" s="127"/>
      <c r="G21" s="127"/>
      <c r="H21" s="134">
        <f>H13-H19</f>
        <v>2934</v>
      </c>
      <c r="I21" s="134">
        <f t="shared" ref="I21:L21" si="1">I13-I19</f>
        <v>5729</v>
      </c>
      <c r="J21" s="134">
        <f t="shared" si="1"/>
        <v>6484</v>
      </c>
      <c r="K21" s="134">
        <f t="shared" si="1"/>
        <v>6382</v>
      </c>
      <c r="L21" s="134">
        <f t="shared" si="1"/>
        <v>6368</v>
      </c>
    </row>
    <row r="22" spans="1:12" x14ac:dyDescent="0.3">
      <c r="H22" s="132"/>
      <c r="I22" s="132"/>
      <c r="J22" s="132"/>
      <c r="K22" s="132"/>
      <c r="L22" s="132"/>
    </row>
    <row r="23" spans="1:12" ht="15" customHeight="1" x14ac:dyDescent="0.3">
      <c r="B23" s="22" t="s">
        <v>287</v>
      </c>
      <c r="H23" s="132"/>
      <c r="I23" s="132"/>
      <c r="J23" s="132"/>
      <c r="K23" s="132"/>
      <c r="L23" s="132"/>
    </row>
    <row r="24" spans="1:12" x14ac:dyDescent="0.3">
      <c r="B24" s="125" t="str">
        <f>RawFS!B18</f>
        <v>Land</v>
      </c>
      <c r="C24" s="125"/>
      <c r="D24" s="125"/>
      <c r="E24" s="125"/>
      <c r="F24" s="125"/>
      <c r="G24" s="125"/>
      <c r="H24" s="131">
        <f>RawFS!J18</f>
        <v>644</v>
      </c>
      <c r="I24" s="131">
        <f>RawFS!K18</f>
        <v>644</v>
      </c>
      <c r="J24" s="131">
        <f>RawFS!L18</f>
        <v>804</v>
      </c>
      <c r="K24" s="131">
        <f>RawFS!M18</f>
        <v>1126</v>
      </c>
      <c r="L24" s="131">
        <f>RawFS!N18</f>
        <v>1050</v>
      </c>
    </row>
    <row r="25" spans="1:12" x14ac:dyDescent="0.3">
      <c r="B25" s="125" t="str">
        <f>RawFS!B19</f>
        <v>Building</v>
      </c>
      <c r="C25" s="125"/>
      <c r="D25" s="125"/>
      <c r="E25" s="125"/>
      <c r="F25" s="125"/>
      <c r="G25" s="125"/>
      <c r="H25" s="131">
        <f>RawFS!J19</f>
        <v>2249</v>
      </c>
      <c r="I25" s="131">
        <f>RawFS!K19</f>
        <v>2325</v>
      </c>
      <c r="J25" s="131">
        <f>RawFS!L19</f>
        <v>2883</v>
      </c>
      <c r="K25" s="131">
        <f>RawFS!M19</f>
        <v>3390</v>
      </c>
      <c r="L25" s="131">
        <f>RawFS!N19</f>
        <v>4136</v>
      </c>
    </row>
    <row r="26" spans="1:12" x14ac:dyDescent="0.3">
      <c r="B26" s="125" t="str">
        <f>RawFS!B20</f>
        <v>Plant Machinery</v>
      </c>
      <c r="C26" s="125"/>
      <c r="D26" s="125"/>
      <c r="E26" s="125"/>
      <c r="F26" s="125"/>
      <c r="G26" s="125"/>
      <c r="H26" s="131">
        <f>RawFS!J20</f>
        <v>4340</v>
      </c>
      <c r="I26" s="131">
        <f>RawFS!K20</f>
        <v>4531</v>
      </c>
      <c r="J26" s="131">
        <f>RawFS!L20</f>
        <v>4825</v>
      </c>
      <c r="K26" s="131">
        <f>RawFS!M20</f>
        <v>5422</v>
      </c>
      <c r="L26" s="131">
        <f>RawFS!N20</f>
        <v>7576</v>
      </c>
    </row>
    <row r="27" spans="1:12" x14ac:dyDescent="0.3">
      <c r="B27" s="125" t="str">
        <f>RawFS!B21</f>
        <v>Equipments</v>
      </c>
      <c r="H27" s="131">
        <f>RawFS!J21</f>
        <v>243</v>
      </c>
      <c r="I27" s="131">
        <f>RawFS!K21</f>
        <v>253</v>
      </c>
      <c r="J27" s="131">
        <f>RawFS!L21</f>
        <v>270</v>
      </c>
      <c r="K27" s="131">
        <f>RawFS!M21</f>
        <v>298</v>
      </c>
      <c r="L27" s="131">
        <f>RawFS!N21</f>
        <v>325</v>
      </c>
    </row>
    <row r="28" spans="1:12" x14ac:dyDescent="0.3">
      <c r="B28" s="125" t="str">
        <f>RawFS!B22</f>
        <v>Furniture n fittings</v>
      </c>
      <c r="C28" s="125"/>
      <c r="D28" s="125"/>
      <c r="E28" s="125"/>
      <c r="F28" s="125"/>
      <c r="G28" s="125"/>
      <c r="H28" s="131">
        <f>RawFS!J22</f>
        <v>99</v>
      </c>
      <c r="I28" s="131">
        <f>RawFS!K22</f>
        <v>113</v>
      </c>
      <c r="J28" s="131">
        <f>RawFS!L22</f>
        <v>146</v>
      </c>
      <c r="K28" s="131">
        <f>RawFS!M22</f>
        <v>175</v>
      </c>
      <c r="L28" s="131">
        <f>RawFS!N22</f>
        <v>203</v>
      </c>
    </row>
    <row r="29" spans="1:12" x14ac:dyDescent="0.3">
      <c r="B29" s="125" t="str">
        <f>RawFS!B23</f>
        <v>Vehicles</v>
      </c>
      <c r="H29" s="131">
        <f>RawFS!J23</f>
        <v>38</v>
      </c>
      <c r="I29" s="131">
        <f>RawFS!K23</f>
        <v>32</v>
      </c>
      <c r="J29" s="131">
        <f>RawFS!L23</f>
        <v>36</v>
      </c>
      <c r="K29" s="131">
        <f>RawFS!M23</f>
        <v>40</v>
      </c>
      <c r="L29" s="131">
        <f>RawFS!N23</f>
        <v>39</v>
      </c>
    </row>
    <row r="30" spans="1:12" x14ac:dyDescent="0.3">
      <c r="B30" s="125" t="str">
        <f>RawFS!B24</f>
        <v>Intangible Assets</v>
      </c>
      <c r="C30" s="125"/>
      <c r="D30" s="125"/>
      <c r="E30" s="125"/>
      <c r="F30" s="125"/>
      <c r="G30" s="125"/>
      <c r="H30" s="131">
        <f>RawFS!J24</f>
        <v>476</v>
      </c>
      <c r="I30" s="131">
        <f>RawFS!K24</f>
        <v>345</v>
      </c>
      <c r="J30" s="131">
        <f>RawFS!L24</f>
        <v>422</v>
      </c>
      <c r="K30" s="131">
        <f>RawFS!M24</f>
        <v>850</v>
      </c>
      <c r="L30" s="131">
        <f>RawFS!N24</f>
        <v>827</v>
      </c>
    </row>
    <row r="31" spans="1:12" x14ac:dyDescent="0.3">
      <c r="B31" s="125" t="str">
        <f>RawFS!B25</f>
        <v>Other fixed assets</v>
      </c>
      <c r="H31" s="131">
        <f>RawFS!J25</f>
        <v>302</v>
      </c>
      <c r="I31" s="131">
        <f>RawFS!K25</f>
        <v>294</v>
      </c>
      <c r="J31" s="131">
        <f>RawFS!L25</f>
        <v>289</v>
      </c>
      <c r="K31" s="131">
        <f>RawFS!M25</f>
        <v>321</v>
      </c>
      <c r="L31" s="131">
        <f>RawFS!N25</f>
        <v>328</v>
      </c>
    </row>
    <row r="32" spans="1:12" x14ac:dyDescent="0.3">
      <c r="B32" s="76" t="s">
        <v>270</v>
      </c>
      <c r="C32" s="84"/>
      <c r="D32" s="84"/>
      <c r="E32" s="84"/>
      <c r="F32" s="84"/>
      <c r="G32" s="84"/>
      <c r="H32" s="133">
        <f>SUM(H24:H31)</f>
        <v>8391</v>
      </c>
      <c r="I32" s="133">
        <f>SUM(I24:I31)</f>
        <v>8537</v>
      </c>
      <c r="J32" s="133">
        <f>SUM(J24:J31)</f>
        <v>9675</v>
      </c>
      <c r="K32" s="133">
        <f>SUM(K24:K31)</f>
        <v>11622</v>
      </c>
      <c r="L32" s="133">
        <f>SUM(L24:L31)</f>
        <v>14484</v>
      </c>
    </row>
    <row r="33" spans="1:12" x14ac:dyDescent="0.3">
      <c r="B33" t="str">
        <f>RawFS!B27</f>
        <v>Accumulated Depreciation</v>
      </c>
      <c r="H33" s="132">
        <f>-RawFS!J27</f>
        <v>-2533</v>
      </c>
      <c r="I33" s="132">
        <f>-RawFS!K27</f>
        <v>-3019</v>
      </c>
      <c r="J33" s="132">
        <f>-RawFS!L27</f>
        <v>-3814</v>
      </c>
      <c r="K33" s="132">
        <f>-RawFS!M27</f>
        <v>-4381</v>
      </c>
      <c r="L33" s="132">
        <f>-RawFS!N27</f>
        <v>-4945</v>
      </c>
    </row>
    <row r="34" spans="1:12" ht="15" thickBot="1" x14ac:dyDescent="0.35">
      <c r="A34" t="s">
        <v>55</v>
      </c>
      <c r="B34" s="126" t="s">
        <v>288</v>
      </c>
      <c r="C34" s="127"/>
      <c r="D34" s="127"/>
      <c r="E34" s="127"/>
      <c r="F34" s="127"/>
      <c r="G34" s="127"/>
      <c r="H34" s="134">
        <f>SUM(H32:H33)</f>
        <v>5858</v>
      </c>
      <c r="I34" s="134">
        <f t="shared" ref="I34:L34" si="2">SUM(I32:I33)</f>
        <v>5518</v>
      </c>
      <c r="J34" s="134">
        <f t="shared" si="2"/>
        <v>5861</v>
      </c>
      <c r="K34" s="134">
        <f t="shared" si="2"/>
        <v>7241</v>
      </c>
      <c r="L34" s="134">
        <f t="shared" si="2"/>
        <v>9539</v>
      </c>
    </row>
    <row r="35" spans="1:12" x14ac:dyDescent="0.3">
      <c r="H35" s="132"/>
      <c r="I35" s="132"/>
      <c r="J35" s="132"/>
      <c r="K35" s="132"/>
      <c r="L35" s="132"/>
    </row>
    <row r="36" spans="1:12" x14ac:dyDescent="0.3">
      <c r="A36" t="s">
        <v>55</v>
      </c>
      <c r="B36" s="22" t="s">
        <v>289</v>
      </c>
      <c r="H36" s="135">
        <f>H34+H21</f>
        <v>8792</v>
      </c>
      <c r="I36" s="135">
        <f t="shared" ref="I36:L36" si="3">I34+I21</f>
        <v>11247</v>
      </c>
      <c r="J36" s="135">
        <f t="shared" si="3"/>
        <v>12345</v>
      </c>
      <c r="K36" s="135">
        <f t="shared" si="3"/>
        <v>13623</v>
      </c>
      <c r="L36" s="135">
        <f t="shared" si="3"/>
        <v>15907</v>
      </c>
    </row>
    <row r="37" spans="1:12" x14ac:dyDescent="0.3">
      <c r="B37" s="22" t="s">
        <v>290</v>
      </c>
      <c r="C37" s="22"/>
      <c r="D37" s="22"/>
      <c r="E37" s="22"/>
      <c r="F37" s="22"/>
      <c r="G37" s="22"/>
      <c r="H37" s="135">
        <f>HistoricalFS!H27+HistoricalFS!H21</f>
        <v>4064.3300000000031</v>
      </c>
      <c r="I37" s="135">
        <f>HistoricalFS!I27+HistoricalFS!I21</f>
        <v>3987.2499999999986</v>
      </c>
      <c r="J37" s="135">
        <f>HistoricalFS!J27+HistoricalFS!J21</f>
        <v>5401.8199999999952</v>
      </c>
      <c r="K37" s="135">
        <f>HistoricalFS!K27+HistoricalFS!K21</f>
        <v>6731.9800000000014</v>
      </c>
      <c r="L37" s="135">
        <f>HistoricalFS!L27+HistoricalFS!L21</f>
        <v>4979.8700000000026</v>
      </c>
    </row>
    <row r="39" spans="1:12" ht="15" thickBot="1" x14ac:dyDescent="0.35">
      <c r="A39" t="s">
        <v>55</v>
      </c>
      <c r="B39" s="128" t="s">
        <v>291</v>
      </c>
      <c r="C39" s="129"/>
      <c r="D39" s="129"/>
      <c r="E39" s="129"/>
      <c r="F39" s="129"/>
      <c r="G39" s="129"/>
      <c r="H39" s="128">
        <f>H37/H36</f>
        <v>0.46227593266606043</v>
      </c>
      <c r="I39" s="128">
        <f>I37/I36</f>
        <v>0.35451676002489541</v>
      </c>
      <c r="J39" s="128">
        <f t="shared" ref="J39:L39" si="4">J37/J36</f>
        <v>0.43757148643175336</v>
      </c>
      <c r="K39" s="128">
        <f t="shared" si="4"/>
        <v>0.49416281288996561</v>
      </c>
      <c r="L39" s="128">
        <f t="shared" si="4"/>
        <v>0.31306154523165919</v>
      </c>
    </row>
    <row r="42" spans="1:12" x14ac:dyDescent="0.3">
      <c r="A42" t="s">
        <v>55</v>
      </c>
      <c r="B42" s="110" t="s">
        <v>283</v>
      </c>
      <c r="C42" s="123"/>
      <c r="D42" s="123"/>
      <c r="E42" s="123"/>
      <c r="F42" s="123"/>
      <c r="G42" s="123"/>
      <c r="H42" s="124">
        <f>H6</f>
        <v>44256</v>
      </c>
      <c r="I42" s="124">
        <f t="shared" ref="I42:L42" si="5">I6</f>
        <v>44621</v>
      </c>
      <c r="J42" s="124">
        <f t="shared" si="5"/>
        <v>44986</v>
      </c>
      <c r="K42" s="124">
        <f t="shared" si="5"/>
        <v>45352</v>
      </c>
      <c r="L42" s="124">
        <f t="shared" si="5"/>
        <v>45717</v>
      </c>
    </row>
    <row r="44" spans="1:12" x14ac:dyDescent="0.3">
      <c r="B44" s="136" t="s">
        <v>292</v>
      </c>
      <c r="C44" s="136"/>
      <c r="D44" s="136"/>
      <c r="E44" s="136"/>
      <c r="F44" s="136"/>
      <c r="G44" s="136"/>
      <c r="H44" s="137">
        <f>-SUM(RawFS!J51:J52)</f>
        <v>254</v>
      </c>
      <c r="I44" s="137">
        <f>-SUM(RawFS!K51:K52)</f>
        <v>511</v>
      </c>
      <c r="J44" s="137">
        <f>-SUM(RawFS!L51:L52)</f>
        <v>1420</v>
      </c>
      <c r="K44" s="137">
        <f>-SUM(RawFS!M51:M52)</f>
        <v>2491</v>
      </c>
      <c r="L44" s="137">
        <f>-SUM(RawFS!N51:N52)</f>
        <v>1820</v>
      </c>
    </row>
    <row r="45" spans="1:12" x14ac:dyDescent="0.3">
      <c r="B45" s="136" t="s">
        <v>296</v>
      </c>
      <c r="C45" s="136"/>
      <c r="D45" s="136"/>
      <c r="E45" s="136"/>
      <c r="F45" s="136"/>
      <c r="G45" s="136"/>
      <c r="H45" s="137"/>
      <c r="I45" s="137">
        <f>I21-H21</f>
        <v>2795</v>
      </c>
      <c r="J45" s="137">
        <f t="shared" ref="J45:L45" si="6">J21-I21</f>
        <v>755</v>
      </c>
      <c r="K45" s="137">
        <f t="shared" si="6"/>
        <v>-102</v>
      </c>
      <c r="L45" s="137">
        <f t="shared" si="6"/>
        <v>-14</v>
      </c>
    </row>
    <row r="46" spans="1:12" x14ac:dyDescent="0.3">
      <c r="B46" s="136"/>
      <c r="C46" s="136"/>
      <c r="D46" s="136"/>
      <c r="E46" s="136"/>
      <c r="F46" s="136"/>
      <c r="G46" s="136"/>
      <c r="H46" s="137"/>
      <c r="I46" s="137"/>
      <c r="J46" s="137"/>
      <c r="K46" s="137"/>
      <c r="L46" s="137"/>
    </row>
    <row r="47" spans="1:12" x14ac:dyDescent="0.3">
      <c r="B47" s="136" t="s">
        <v>290</v>
      </c>
      <c r="C47" s="136"/>
      <c r="D47" s="136"/>
      <c r="E47" s="136"/>
      <c r="F47" s="136"/>
      <c r="G47" s="136"/>
      <c r="H47" s="137">
        <f>H37</f>
        <v>4064.3300000000031</v>
      </c>
      <c r="I47" s="137">
        <f t="shared" ref="I47:L47" si="7">I37</f>
        <v>3987.2499999999986</v>
      </c>
      <c r="J47" s="137">
        <f t="shared" si="7"/>
        <v>5401.8199999999952</v>
      </c>
      <c r="K47" s="137">
        <f t="shared" si="7"/>
        <v>6731.9800000000014</v>
      </c>
      <c r="L47" s="137">
        <f t="shared" si="7"/>
        <v>4979.8700000000026</v>
      </c>
    </row>
    <row r="48" spans="1:12" x14ac:dyDescent="0.3">
      <c r="B48" s="136" t="s">
        <v>297</v>
      </c>
      <c r="C48" s="136"/>
      <c r="D48" s="136"/>
      <c r="E48" s="136"/>
      <c r="F48" s="136"/>
      <c r="G48" s="136"/>
      <c r="H48" s="138">
        <v>0.25</v>
      </c>
      <c r="I48" s="138">
        <v>0.25</v>
      </c>
      <c r="J48" s="138">
        <v>0.25</v>
      </c>
      <c r="K48" s="138">
        <v>0.25</v>
      </c>
      <c r="L48" s="138">
        <v>0.25</v>
      </c>
    </row>
    <row r="49" spans="1:12" x14ac:dyDescent="0.3">
      <c r="B49" s="136" t="s">
        <v>298</v>
      </c>
      <c r="C49" s="136"/>
      <c r="D49" s="136"/>
      <c r="E49" s="136"/>
      <c r="F49" s="136"/>
      <c r="G49" s="136"/>
      <c r="H49" s="137">
        <f>H47*(1-H48)</f>
        <v>3048.2475000000022</v>
      </c>
      <c r="I49" s="137">
        <f>I47*(1-I48)</f>
        <v>2990.4374999999991</v>
      </c>
      <c r="J49" s="137">
        <f t="shared" ref="J49:L49" si="8">J47*(1-J48)</f>
        <v>4051.3649999999961</v>
      </c>
      <c r="K49" s="137">
        <f t="shared" si="8"/>
        <v>5048.9850000000006</v>
      </c>
      <c r="L49" s="137">
        <f t="shared" si="8"/>
        <v>3734.902500000002</v>
      </c>
    </row>
    <row r="50" spans="1:12" x14ac:dyDescent="0.3">
      <c r="B50" s="136"/>
      <c r="C50" s="136"/>
      <c r="D50" s="136"/>
      <c r="E50" s="136"/>
      <c r="F50" s="136"/>
      <c r="G50" s="136"/>
      <c r="H50" s="137"/>
      <c r="I50" s="137"/>
      <c r="J50" s="137"/>
      <c r="K50" s="137"/>
      <c r="L50" s="137"/>
    </row>
    <row r="51" spans="1:12" x14ac:dyDescent="0.3">
      <c r="B51" s="136" t="s">
        <v>299</v>
      </c>
      <c r="C51" s="136"/>
      <c r="D51" s="136"/>
      <c r="E51" s="136"/>
      <c r="F51" s="136"/>
      <c r="G51" s="136"/>
      <c r="H51" s="137"/>
      <c r="I51" s="137">
        <f>SUM(I44:I45)</f>
        <v>3306</v>
      </c>
      <c r="J51" s="137">
        <f t="shared" ref="J51:L51" si="9">SUM(J44:J45)</f>
        <v>2175</v>
      </c>
      <c r="K51" s="137">
        <f t="shared" si="9"/>
        <v>2389</v>
      </c>
      <c r="L51" s="137">
        <f t="shared" si="9"/>
        <v>1806</v>
      </c>
    </row>
    <row r="52" spans="1:12" ht="4.2" customHeight="1" x14ac:dyDescent="0.3"/>
    <row r="53" spans="1:12" ht="15" thickBot="1" x14ac:dyDescent="0.35">
      <c r="B53" s="139" t="s">
        <v>300</v>
      </c>
      <c r="C53" s="139"/>
      <c r="D53" s="139"/>
      <c r="E53" s="139"/>
      <c r="F53" s="139"/>
      <c r="G53" s="139"/>
      <c r="H53" s="139"/>
      <c r="I53" s="140">
        <f>I51/I49</f>
        <v>1.1055238572951285</v>
      </c>
      <c r="J53" s="140">
        <f t="shared" ref="J53:L53" si="10">J51/J49</f>
        <v>0.53685609664890777</v>
      </c>
      <c r="K53" s="140">
        <f t="shared" si="10"/>
        <v>0.4731644082919636</v>
      </c>
      <c r="L53" s="140">
        <f t="shared" si="10"/>
        <v>0.48354675925275131</v>
      </c>
    </row>
    <row r="54" spans="1:12" x14ac:dyDescent="0.3">
      <c r="I54" s="21"/>
      <c r="J54" s="21"/>
      <c r="K54" s="21"/>
      <c r="L54" s="21"/>
    </row>
    <row r="55" spans="1:12" x14ac:dyDescent="0.3">
      <c r="K55" s="141" t="s">
        <v>301</v>
      </c>
      <c r="L55" s="142">
        <f>AVERAGE(I53:L53)</f>
        <v>0.64977278037218777</v>
      </c>
    </row>
    <row r="56" spans="1:12" x14ac:dyDescent="0.3">
      <c r="K56" s="141" t="s">
        <v>302</v>
      </c>
      <c r="L56" s="142">
        <f>MEDIAN(I53:L53)</f>
        <v>0.51020142795082957</v>
      </c>
    </row>
    <row r="59" spans="1:12" x14ac:dyDescent="0.3">
      <c r="A59" t="s">
        <v>55</v>
      </c>
      <c r="B59" s="110" t="s">
        <v>303</v>
      </c>
      <c r="C59" s="123"/>
      <c r="D59" s="123"/>
      <c r="E59" s="123"/>
      <c r="F59" s="123"/>
      <c r="G59" s="123"/>
      <c r="H59" s="124">
        <f>H42</f>
        <v>44256</v>
      </c>
      <c r="I59" s="124">
        <f t="shared" ref="I59:L59" si="11">I42</f>
        <v>44621</v>
      </c>
      <c r="J59" s="124">
        <f t="shared" si="11"/>
        <v>44986</v>
      </c>
      <c r="K59" s="124">
        <f t="shared" si="11"/>
        <v>45352</v>
      </c>
      <c r="L59" s="124">
        <f t="shared" si="11"/>
        <v>45717</v>
      </c>
    </row>
    <row r="61" spans="1:12" x14ac:dyDescent="0.3">
      <c r="B61" s="136" t="s">
        <v>300</v>
      </c>
      <c r="C61" s="136"/>
      <c r="D61" s="136"/>
      <c r="E61" s="136"/>
      <c r="F61" s="136"/>
      <c r="G61" s="136"/>
      <c r="H61" s="136"/>
      <c r="I61" s="143">
        <f>I53</f>
        <v>1.1055238572951285</v>
      </c>
      <c r="J61" s="143">
        <f t="shared" ref="J61:L61" si="12">J53</f>
        <v>0.53685609664890777</v>
      </c>
      <c r="K61" s="143">
        <f t="shared" si="12"/>
        <v>0.4731644082919636</v>
      </c>
      <c r="L61" s="143">
        <f t="shared" si="12"/>
        <v>0.48354675925275131</v>
      </c>
    </row>
    <row r="62" spans="1:12" x14ac:dyDescent="0.3">
      <c r="B62" s="136" t="s">
        <v>291</v>
      </c>
      <c r="C62" s="136"/>
      <c r="D62" s="136"/>
      <c r="E62" s="136"/>
      <c r="F62" s="136"/>
      <c r="G62" s="136"/>
      <c r="H62" s="136"/>
      <c r="I62" s="143">
        <f>I39</f>
        <v>0.35451676002489541</v>
      </c>
      <c r="J62" s="143">
        <f t="shared" ref="J62:L62" si="13">J39</f>
        <v>0.43757148643175336</v>
      </c>
      <c r="K62" s="143">
        <f t="shared" si="13"/>
        <v>0.49416281288996561</v>
      </c>
      <c r="L62" s="143">
        <f t="shared" si="13"/>
        <v>0.31306154523165919</v>
      </c>
    </row>
    <row r="63" spans="1:12" ht="4.2" customHeight="1" x14ac:dyDescent="0.3"/>
    <row r="64" spans="1:12" ht="15" thickBot="1" x14ac:dyDescent="0.35">
      <c r="B64" s="139" t="s">
        <v>304</v>
      </c>
      <c r="C64" s="139"/>
      <c r="D64" s="139"/>
      <c r="E64" s="139"/>
      <c r="F64" s="139"/>
      <c r="G64" s="139"/>
      <c r="H64" s="139"/>
      <c r="I64" s="144">
        <f>I61*I62</f>
        <v>0.39192673601849376</v>
      </c>
      <c r="J64" s="144">
        <f t="shared" ref="J64:L64" si="14">J61*J62</f>
        <v>0.23491292021061161</v>
      </c>
      <c r="K64" s="144">
        <f t="shared" si="14"/>
        <v>0.23382025496097289</v>
      </c>
      <c r="L64" s="144">
        <f t="shared" si="14"/>
        <v>0.15137989564342741</v>
      </c>
    </row>
    <row r="66" spans="11:12" x14ac:dyDescent="0.3">
      <c r="K66" s="141" t="s">
        <v>301</v>
      </c>
      <c r="L66" s="142">
        <f>AVERAGE(I64:L64)</f>
        <v>0.25300995170837642</v>
      </c>
    </row>
    <row r="67" spans="11:12" x14ac:dyDescent="0.3">
      <c r="K67" s="141" t="s">
        <v>302</v>
      </c>
      <c r="L67" s="142">
        <f>MEDIAN(I64:L64)</f>
        <v>0.23436658758579226</v>
      </c>
    </row>
  </sheetData>
  <pageMargins left="0.7" right="0.7" top="0.75" bottom="0.75" header="0.3" footer="0.3"/>
  <ignoredErrors>
    <ignoredError sqref="H44:L44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B4F3-2387-4F4E-8DED-7BD1C6B60D45}">
  <dimension ref="B2:N69"/>
  <sheetViews>
    <sheetView showGridLines="0" zoomScale="126" zoomScaleNormal="126" workbookViewId="0">
      <pane ySplit="2" topLeftCell="A36" activePane="bottomLeft" state="frozen"/>
      <selection pane="bottomLeft" activeCell="Q21" sqref="Q21"/>
    </sheetView>
  </sheetViews>
  <sheetFormatPr defaultRowHeight="14.4" x14ac:dyDescent="0.3"/>
  <cols>
    <col min="1" max="1" width="1.88671875" customWidth="1"/>
    <col min="2" max="2" width="27.77734375" bestFit="1" customWidth="1"/>
    <col min="3" max="3" width="9.5546875" customWidth="1"/>
    <col min="4" max="4" width="8.77734375" customWidth="1"/>
  </cols>
  <sheetData>
    <row r="2" spans="2:14" x14ac:dyDescent="0.3">
      <c r="B2" s="110" t="s">
        <v>282</v>
      </c>
      <c r="C2" s="130">
        <v>41699</v>
      </c>
      <c r="D2" s="130">
        <v>42064</v>
      </c>
      <c r="E2" s="130">
        <v>42430</v>
      </c>
      <c r="F2" s="130">
        <v>42795</v>
      </c>
      <c r="G2" s="130">
        <v>43160</v>
      </c>
      <c r="H2" s="130">
        <v>43525</v>
      </c>
      <c r="I2" s="130">
        <v>43891</v>
      </c>
      <c r="J2" s="130">
        <v>44256</v>
      </c>
      <c r="K2" s="130">
        <v>44621</v>
      </c>
      <c r="L2" s="130">
        <v>44986</v>
      </c>
      <c r="M2" s="130">
        <v>45352</v>
      </c>
      <c r="N2" s="130">
        <v>45717</v>
      </c>
    </row>
    <row r="4" spans="2:14" x14ac:dyDescent="0.3">
      <c r="B4" s="105" t="s">
        <v>253</v>
      </c>
      <c r="C4" s="116">
        <v>96</v>
      </c>
      <c r="D4" s="116">
        <v>96</v>
      </c>
      <c r="E4" s="116">
        <v>96</v>
      </c>
      <c r="F4" s="116">
        <v>96</v>
      </c>
      <c r="G4" s="116">
        <v>96</v>
      </c>
      <c r="H4" s="116">
        <v>96</v>
      </c>
      <c r="I4" s="116">
        <v>96</v>
      </c>
      <c r="J4" s="116">
        <v>96</v>
      </c>
      <c r="K4" s="116">
        <v>96</v>
      </c>
      <c r="L4" s="116">
        <v>96</v>
      </c>
      <c r="M4" s="116">
        <v>96</v>
      </c>
      <c r="N4" s="116">
        <v>96</v>
      </c>
    </row>
    <row r="5" spans="2:14" ht="15" thickBot="1" x14ac:dyDescent="0.35">
      <c r="B5" s="106" t="s">
        <v>32</v>
      </c>
      <c r="C5" s="117">
        <v>3943</v>
      </c>
      <c r="D5" s="117">
        <v>4646</v>
      </c>
      <c r="E5" s="117">
        <v>6429</v>
      </c>
      <c r="F5" s="117">
        <v>7508</v>
      </c>
      <c r="G5" s="117">
        <v>8314</v>
      </c>
      <c r="H5" s="117">
        <v>9375</v>
      </c>
      <c r="I5" s="117">
        <v>10034</v>
      </c>
      <c r="J5" s="117">
        <v>12710</v>
      </c>
      <c r="K5" s="117">
        <v>13716</v>
      </c>
      <c r="L5" s="117">
        <v>15896</v>
      </c>
      <c r="M5" s="117">
        <v>18632</v>
      </c>
      <c r="N5" s="117">
        <v>19304</v>
      </c>
    </row>
    <row r="6" spans="2:14" x14ac:dyDescent="0.3">
      <c r="B6" s="107" t="s">
        <v>277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</row>
    <row r="7" spans="2:14" x14ac:dyDescent="0.3">
      <c r="B7" s="108" t="s">
        <v>254</v>
      </c>
      <c r="C7" s="117">
        <v>41</v>
      </c>
      <c r="D7" s="117">
        <v>78</v>
      </c>
      <c r="E7" s="117">
        <v>73</v>
      </c>
      <c r="F7" s="117">
        <v>41</v>
      </c>
      <c r="G7" s="117">
        <v>28</v>
      </c>
      <c r="H7" s="117">
        <v>19</v>
      </c>
      <c r="I7" s="117">
        <v>19</v>
      </c>
      <c r="J7" s="117">
        <v>15</v>
      </c>
      <c r="K7" s="117">
        <v>45</v>
      </c>
      <c r="L7" s="117">
        <v>76</v>
      </c>
      <c r="M7" s="117">
        <v>54</v>
      </c>
      <c r="N7" s="117">
        <v>260</v>
      </c>
    </row>
    <row r="8" spans="2:14" x14ac:dyDescent="0.3">
      <c r="B8" s="108" t="s">
        <v>255</v>
      </c>
      <c r="C8" s="117">
        <v>199</v>
      </c>
      <c r="D8" s="117">
        <v>332</v>
      </c>
      <c r="E8" s="117">
        <v>231</v>
      </c>
      <c r="F8" s="117">
        <v>504</v>
      </c>
      <c r="G8" s="117">
        <v>492</v>
      </c>
      <c r="H8" s="117">
        <v>597</v>
      </c>
      <c r="I8" s="117">
        <v>321</v>
      </c>
      <c r="J8" s="117">
        <v>334</v>
      </c>
      <c r="K8" s="117">
        <v>731</v>
      </c>
      <c r="L8" s="117">
        <v>896</v>
      </c>
      <c r="M8" s="117">
        <v>1053</v>
      </c>
      <c r="N8" s="117">
        <v>604</v>
      </c>
    </row>
    <row r="9" spans="2:14" x14ac:dyDescent="0.3">
      <c r="B9" s="108" t="s">
        <v>256</v>
      </c>
      <c r="C9" s="117">
        <v>0</v>
      </c>
      <c r="D9" s="117">
        <v>0</v>
      </c>
      <c r="E9" s="117">
        <v>0</v>
      </c>
      <c r="F9" s="117">
        <v>0</v>
      </c>
      <c r="G9" s="117">
        <v>0</v>
      </c>
      <c r="H9" s="117">
        <v>693</v>
      </c>
      <c r="I9" s="117">
        <v>764</v>
      </c>
      <c r="J9" s="117">
        <v>745</v>
      </c>
      <c r="K9" s="117">
        <v>811</v>
      </c>
      <c r="L9" s="117">
        <v>960</v>
      </c>
      <c r="M9" s="117">
        <v>1367</v>
      </c>
      <c r="N9" s="117">
        <v>1427</v>
      </c>
    </row>
    <row r="10" spans="2:14" ht="15" thickBot="1" x14ac:dyDescent="0.35">
      <c r="B10" s="108" t="s">
        <v>257</v>
      </c>
      <c r="C10" s="117">
        <v>9</v>
      </c>
      <c r="D10" s="117">
        <v>8</v>
      </c>
      <c r="E10" s="117">
        <v>20</v>
      </c>
      <c r="F10" s="117">
        <v>15</v>
      </c>
      <c r="G10" s="117">
        <v>13</v>
      </c>
      <c r="H10" s="117">
        <v>11</v>
      </c>
      <c r="I10" s="117">
        <v>15</v>
      </c>
      <c r="J10" s="117">
        <v>0</v>
      </c>
      <c r="K10" s="117">
        <v>0</v>
      </c>
      <c r="L10" s="117">
        <v>0</v>
      </c>
      <c r="M10" s="117">
        <v>0</v>
      </c>
      <c r="N10" s="117">
        <v>0</v>
      </c>
    </row>
    <row r="11" spans="2:14" x14ac:dyDescent="0.3">
      <c r="B11" s="107" t="s">
        <v>278</v>
      </c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</row>
    <row r="12" spans="2:14" x14ac:dyDescent="0.3">
      <c r="B12" s="108" t="s">
        <v>258</v>
      </c>
      <c r="C12" s="117">
        <v>246</v>
      </c>
      <c r="D12" s="117">
        <v>264</v>
      </c>
      <c r="E12" s="117">
        <v>384</v>
      </c>
      <c r="F12" s="117">
        <v>375</v>
      </c>
      <c r="G12" s="117">
        <v>328</v>
      </c>
      <c r="H12" s="117">
        <v>361</v>
      </c>
      <c r="I12" s="117">
        <v>404</v>
      </c>
      <c r="J12" s="117">
        <v>423</v>
      </c>
      <c r="K12" s="117">
        <v>388</v>
      </c>
      <c r="L12" s="117">
        <v>454</v>
      </c>
      <c r="M12" s="117">
        <v>695</v>
      </c>
      <c r="N12" s="117">
        <v>659</v>
      </c>
    </row>
    <row r="13" spans="2:14" x14ac:dyDescent="0.3">
      <c r="B13" s="108" t="s">
        <v>259</v>
      </c>
      <c r="C13" s="117">
        <v>1746</v>
      </c>
      <c r="D13" s="117">
        <v>1549</v>
      </c>
      <c r="E13" s="117">
        <v>1565</v>
      </c>
      <c r="F13" s="117">
        <v>1923</v>
      </c>
      <c r="G13" s="117">
        <v>2160</v>
      </c>
      <c r="H13" s="117">
        <v>2394</v>
      </c>
      <c r="I13" s="117">
        <v>2137</v>
      </c>
      <c r="J13" s="117">
        <v>3379</v>
      </c>
      <c r="K13" s="117">
        <v>4164</v>
      </c>
      <c r="L13" s="117">
        <v>3635</v>
      </c>
      <c r="M13" s="117">
        <v>3831</v>
      </c>
      <c r="N13" s="117">
        <v>3848</v>
      </c>
    </row>
    <row r="14" spans="2:14" x14ac:dyDescent="0.3">
      <c r="B14" s="108" t="s">
        <v>260</v>
      </c>
      <c r="C14" s="117">
        <v>0</v>
      </c>
      <c r="D14" s="117">
        <v>5</v>
      </c>
      <c r="E14" s="117">
        <v>12</v>
      </c>
      <c r="F14" s="117">
        <v>17</v>
      </c>
      <c r="G14" s="117">
        <v>16</v>
      </c>
      <c r="H14" s="117">
        <v>13</v>
      </c>
      <c r="I14" s="117">
        <v>29</v>
      </c>
      <c r="J14" s="117">
        <v>41</v>
      </c>
      <c r="K14" s="117">
        <v>76</v>
      </c>
      <c r="L14" s="117">
        <v>108</v>
      </c>
      <c r="M14" s="117">
        <v>154</v>
      </c>
      <c r="N14" s="117">
        <v>173</v>
      </c>
    </row>
    <row r="15" spans="2:14" ht="15" thickBot="1" x14ac:dyDescent="0.35">
      <c r="B15" s="108" t="s">
        <v>261</v>
      </c>
      <c r="C15" s="117">
        <v>1795</v>
      </c>
      <c r="D15" s="117">
        <v>1937</v>
      </c>
      <c r="E15" s="117">
        <v>1750</v>
      </c>
      <c r="F15" s="117">
        <v>1925</v>
      </c>
      <c r="G15" s="117">
        <v>2316</v>
      </c>
      <c r="H15" s="117">
        <v>2690</v>
      </c>
      <c r="I15" s="117">
        <v>2320</v>
      </c>
      <c r="J15" s="117">
        <v>2613</v>
      </c>
      <c r="K15" s="117">
        <v>2932</v>
      </c>
      <c r="L15" s="117">
        <v>3657</v>
      </c>
      <c r="M15" s="117">
        <v>4017</v>
      </c>
      <c r="N15" s="117">
        <v>3985</v>
      </c>
    </row>
    <row r="16" spans="2:14" ht="15" thickBot="1" x14ac:dyDescent="0.35">
      <c r="B16" s="107" t="s">
        <v>81</v>
      </c>
      <c r="C16" s="118">
        <v>8075</v>
      </c>
      <c r="D16" s="118">
        <v>8914</v>
      </c>
      <c r="E16" s="118">
        <v>10559</v>
      </c>
      <c r="F16" s="118">
        <v>12405</v>
      </c>
      <c r="G16" s="118">
        <v>13763</v>
      </c>
      <c r="H16" s="118">
        <v>16249</v>
      </c>
      <c r="I16" s="118">
        <v>16138</v>
      </c>
      <c r="J16" s="118">
        <v>20355</v>
      </c>
      <c r="K16" s="118">
        <v>22958</v>
      </c>
      <c r="L16" s="118">
        <v>25779</v>
      </c>
      <c r="M16" s="118">
        <v>29901</v>
      </c>
      <c r="N16" s="118">
        <v>30355</v>
      </c>
    </row>
    <row r="17" spans="2:14" x14ac:dyDescent="0.3">
      <c r="B17" s="107" t="s">
        <v>279</v>
      </c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</row>
    <row r="18" spans="2:14" x14ac:dyDescent="0.3">
      <c r="B18" s="108" t="s">
        <v>262</v>
      </c>
      <c r="C18" s="117">
        <v>247</v>
      </c>
      <c r="D18" s="117">
        <v>251</v>
      </c>
      <c r="E18" s="117">
        <v>429</v>
      </c>
      <c r="F18" s="117">
        <v>408</v>
      </c>
      <c r="G18" s="117">
        <v>586</v>
      </c>
      <c r="H18" s="117">
        <v>605</v>
      </c>
      <c r="I18" s="117">
        <v>640</v>
      </c>
      <c r="J18" s="117">
        <v>644</v>
      </c>
      <c r="K18" s="117">
        <v>644</v>
      </c>
      <c r="L18" s="117">
        <v>804</v>
      </c>
      <c r="M18" s="117">
        <v>1126</v>
      </c>
      <c r="N18" s="117">
        <v>1050</v>
      </c>
    </row>
    <row r="19" spans="2:14" x14ac:dyDescent="0.3">
      <c r="B19" s="108" t="s">
        <v>263</v>
      </c>
      <c r="C19" s="117">
        <v>931</v>
      </c>
      <c r="D19" s="117">
        <v>962</v>
      </c>
      <c r="E19" s="117">
        <v>923</v>
      </c>
      <c r="F19" s="117">
        <v>931</v>
      </c>
      <c r="G19" s="117">
        <v>957</v>
      </c>
      <c r="H19" s="117">
        <v>2402</v>
      </c>
      <c r="I19" s="117">
        <v>2257</v>
      </c>
      <c r="J19" s="117">
        <v>2249</v>
      </c>
      <c r="K19" s="117">
        <v>2325</v>
      </c>
      <c r="L19" s="117">
        <v>2883</v>
      </c>
      <c r="M19" s="117">
        <v>3390</v>
      </c>
      <c r="N19" s="117">
        <v>4136</v>
      </c>
    </row>
    <row r="20" spans="2:14" x14ac:dyDescent="0.3">
      <c r="B20" s="108" t="s">
        <v>264</v>
      </c>
      <c r="C20" s="117">
        <v>2054</v>
      </c>
      <c r="D20" s="117">
        <v>2132</v>
      </c>
      <c r="E20" s="117">
        <v>1793</v>
      </c>
      <c r="F20" s="117">
        <v>1980</v>
      </c>
      <c r="G20" s="117">
        <v>2157</v>
      </c>
      <c r="H20" s="117">
        <v>4006</v>
      </c>
      <c r="I20" s="117">
        <v>4208</v>
      </c>
      <c r="J20" s="117">
        <v>4340</v>
      </c>
      <c r="K20" s="117">
        <v>4531</v>
      </c>
      <c r="L20" s="117">
        <v>4825</v>
      </c>
      <c r="M20" s="117">
        <v>5422</v>
      </c>
      <c r="N20" s="117">
        <v>7576</v>
      </c>
    </row>
    <row r="21" spans="2:14" x14ac:dyDescent="0.3">
      <c r="B21" s="108" t="s">
        <v>265</v>
      </c>
      <c r="C21" s="117">
        <v>155</v>
      </c>
      <c r="D21" s="117">
        <v>171</v>
      </c>
      <c r="E21" s="117">
        <v>97</v>
      </c>
      <c r="F21" s="117">
        <v>119</v>
      </c>
      <c r="G21" s="117">
        <v>200</v>
      </c>
      <c r="H21" s="117">
        <v>221</v>
      </c>
      <c r="I21" s="117">
        <v>241</v>
      </c>
      <c r="J21" s="117">
        <v>243</v>
      </c>
      <c r="K21" s="117">
        <v>253</v>
      </c>
      <c r="L21" s="117">
        <v>270</v>
      </c>
      <c r="M21" s="117">
        <v>298</v>
      </c>
      <c r="N21" s="117">
        <v>325</v>
      </c>
    </row>
    <row r="22" spans="2:14" x14ac:dyDescent="0.3">
      <c r="B22" s="108" t="s">
        <v>266</v>
      </c>
      <c r="C22" s="117">
        <v>71</v>
      </c>
      <c r="D22" s="117">
        <v>83</v>
      </c>
      <c r="E22" s="117">
        <v>49</v>
      </c>
      <c r="F22" s="117">
        <v>59</v>
      </c>
      <c r="G22" s="117">
        <v>72</v>
      </c>
      <c r="H22" s="117">
        <v>88</v>
      </c>
      <c r="I22" s="117">
        <v>94</v>
      </c>
      <c r="J22" s="117">
        <v>99</v>
      </c>
      <c r="K22" s="117">
        <v>113</v>
      </c>
      <c r="L22" s="117">
        <v>146</v>
      </c>
      <c r="M22" s="117">
        <v>175</v>
      </c>
      <c r="N22" s="117">
        <v>203</v>
      </c>
    </row>
    <row r="23" spans="2:14" x14ac:dyDescent="0.3">
      <c r="B23" s="108" t="s">
        <v>267</v>
      </c>
      <c r="C23" s="117">
        <v>14</v>
      </c>
      <c r="D23" s="117">
        <v>18</v>
      </c>
      <c r="E23" s="117">
        <v>11</v>
      </c>
      <c r="F23" s="117">
        <v>14</v>
      </c>
      <c r="G23" s="117">
        <v>27</v>
      </c>
      <c r="H23" s="117">
        <v>47</v>
      </c>
      <c r="I23" s="117">
        <v>43</v>
      </c>
      <c r="J23" s="117">
        <v>38</v>
      </c>
      <c r="K23" s="117">
        <v>32</v>
      </c>
      <c r="L23" s="117">
        <v>36</v>
      </c>
      <c r="M23" s="117">
        <v>40</v>
      </c>
      <c r="N23" s="117">
        <v>39</v>
      </c>
    </row>
    <row r="24" spans="2:14" x14ac:dyDescent="0.3">
      <c r="B24" s="108" t="s">
        <v>268</v>
      </c>
      <c r="C24" s="117">
        <v>203</v>
      </c>
      <c r="D24" s="117">
        <v>351</v>
      </c>
      <c r="E24" s="117">
        <v>339</v>
      </c>
      <c r="F24" s="117">
        <v>276</v>
      </c>
      <c r="G24" s="117">
        <v>468</v>
      </c>
      <c r="H24" s="117">
        <v>512</v>
      </c>
      <c r="I24" s="117">
        <v>505</v>
      </c>
      <c r="J24" s="117">
        <v>476</v>
      </c>
      <c r="K24" s="117">
        <v>345</v>
      </c>
      <c r="L24" s="117">
        <v>422</v>
      </c>
      <c r="M24" s="117">
        <v>850</v>
      </c>
      <c r="N24" s="117">
        <v>827</v>
      </c>
    </row>
    <row r="25" spans="2:14" ht="15" thickBot="1" x14ac:dyDescent="0.35">
      <c r="B25" s="108" t="s">
        <v>269</v>
      </c>
      <c r="C25" s="117">
        <v>128</v>
      </c>
      <c r="D25" s="117">
        <v>145</v>
      </c>
      <c r="E25" s="117">
        <v>103</v>
      </c>
      <c r="F25" s="117">
        <v>128</v>
      </c>
      <c r="G25" s="117">
        <v>238</v>
      </c>
      <c r="H25" s="117">
        <v>261</v>
      </c>
      <c r="I25" s="117">
        <v>293</v>
      </c>
      <c r="J25" s="117">
        <v>302</v>
      </c>
      <c r="K25" s="117">
        <v>294</v>
      </c>
      <c r="L25" s="117">
        <v>289</v>
      </c>
      <c r="M25" s="117">
        <v>321</v>
      </c>
      <c r="N25" s="117">
        <v>328</v>
      </c>
    </row>
    <row r="26" spans="2:14" x14ac:dyDescent="0.3">
      <c r="B26" s="109" t="s">
        <v>270</v>
      </c>
      <c r="C26" s="118">
        <v>3804</v>
      </c>
      <c r="D26" s="118">
        <v>4112</v>
      </c>
      <c r="E26" s="118">
        <v>3744</v>
      </c>
      <c r="F26" s="118">
        <v>3914</v>
      </c>
      <c r="G26" s="118">
        <v>4705</v>
      </c>
      <c r="H26" s="118">
        <v>8141</v>
      </c>
      <c r="I26" s="118">
        <v>8282</v>
      </c>
      <c r="J26" s="118">
        <v>8392</v>
      </c>
      <c r="K26" s="118">
        <v>8538</v>
      </c>
      <c r="L26" s="118">
        <v>9676</v>
      </c>
      <c r="M26" s="118">
        <v>11622</v>
      </c>
      <c r="N26" s="118">
        <v>14484</v>
      </c>
    </row>
    <row r="27" spans="2:14" x14ac:dyDescent="0.3">
      <c r="B27" s="113" t="s">
        <v>271</v>
      </c>
      <c r="C27" s="119">
        <v>1223</v>
      </c>
      <c r="D27" s="119">
        <v>1438</v>
      </c>
      <c r="E27" s="119">
        <v>275</v>
      </c>
      <c r="F27" s="119">
        <v>610</v>
      </c>
      <c r="G27" s="119">
        <v>973</v>
      </c>
      <c r="H27" s="119">
        <v>1592</v>
      </c>
      <c r="I27" s="119">
        <v>2010</v>
      </c>
      <c r="J27" s="119">
        <v>2533</v>
      </c>
      <c r="K27" s="119">
        <v>3019</v>
      </c>
      <c r="L27" s="119">
        <v>3814</v>
      </c>
      <c r="M27" s="119">
        <v>4381</v>
      </c>
      <c r="N27" s="119">
        <v>4945</v>
      </c>
    </row>
    <row r="28" spans="2:14" x14ac:dyDescent="0.3">
      <c r="B28" s="111" t="s">
        <v>36</v>
      </c>
      <c r="C28" s="120">
        <f>C26-C27</f>
        <v>2581</v>
      </c>
      <c r="D28" s="120">
        <f t="shared" ref="D28:N28" si="0">D26-D27</f>
        <v>2674</v>
      </c>
      <c r="E28" s="120">
        <f t="shared" si="0"/>
        <v>3469</v>
      </c>
      <c r="F28" s="120">
        <f t="shared" si="0"/>
        <v>3304</v>
      </c>
      <c r="G28" s="120">
        <f t="shared" si="0"/>
        <v>3732</v>
      </c>
      <c r="H28" s="120">
        <f t="shared" si="0"/>
        <v>6549</v>
      </c>
      <c r="I28" s="120">
        <f t="shared" si="0"/>
        <v>6272</v>
      </c>
      <c r="J28" s="120">
        <f t="shared" si="0"/>
        <v>5859</v>
      </c>
      <c r="K28" s="120">
        <f t="shared" si="0"/>
        <v>5519</v>
      </c>
      <c r="L28" s="120">
        <f t="shared" si="0"/>
        <v>5862</v>
      </c>
      <c r="M28" s="120">
        <f t="shared" si="0"/>
        <v>7241</v>
      </c>
      <c r="N28" s="120">
        <f t="shared" si="0"/>
        <v>9539</v>
      </c>
    </row>
    <row r="29" spans="2:14" x14ac:dyDescent="0.3">
      <c r="B29" s="111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</row>
    <row r="30" spans="2:14" x14ac:dyDescent="0.3">
      <c r="B30" s="112" t="s">
        <v>272</v>
      </c>
      <c r="C30" s="117">
        <v>72</v>
      </c>
      <c r="D30" s="117">
        <v>196</v>
      </c>
      <c r="E30" s="117">
        <v>107</v>
      </c>
      <c r="F30" s="117">
        <v>258</v>
      </c>
      <c r="G30" s="117">
        <v>1405</v>
      </c>
      <c r="H30" s="117">
        <v>210</v>
      </c>
      <c r="I30" s="117">
        <v>140</v>
      </c>
      <c r="J30" s="117">
        <v>183</v>
      </c>
      <c r="K30" s="117">
        <v>426</v>
      </c>
      <c r="L30" s="117">
        <v>1020</v>
      </c>
      <c r="M30" s="117">
        <v>2698</v>
      </c>
      <c r="N30" s="117">
        <v>1254</v>
      </c>
    </row>
    <row r="31" spans="2:14" ht="15" thickBot="1" x14ac:dyDescent="0.35">
      <c r="B31" s="112" t="s">
        <v>38</v>
      </c>
      <c r="C31" s="117">
        <v>1424</v>
      </c>
      <c r="D31" s="117">
        <v>1588</v>
      </c>
      <c r="E31" s="117">
        <v>2712</v>
      </c>
      <c r="F31" s="117">
        <v>2652</v>
      </c>
      <c r="G31" s="117">
        <v>2141</v>
      </c>
      <c r="H31" s="117">
        <v>2569</v>
      </c>
      <c r="I31" s="117">
        <v>2019</v>
      </c>
      <c r="J31" s="117">
        <v>4737</v>
      </c>
      <c r="K31" s="117">
        <v>3248</v>
      </c>
      <c r="L31" s="117">
        <v>4262</v>
      </c>
      <c r="M31" s="117">
        <v>4588</v>
      </c>
      <c r="N31" s="117">
        <v>4725</v>
      </c>
    </row>
    <row r="32" spans="2:14" x14ac:dyDescent="0.3">
      <c r="B32" s="107" t="s">
        <v>280</v>
      </c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</row>
    <row r="33" spans="2:14" x14ac:dyDescent="0.3">
      <c r="B33" s="108" t="s">
        <v>273</v>
      </c>
      <c r="C33" s="117">
        <v>2070</v>
      </c>
      <c r="D33" s="117">
        <v>2259</v>
      </c>
      <c r="E33" s="117">
        <v>1998</v>
      </c>
      <c r="F33" s="117">
        <v>2627</v>
      </c>
      <c r="G33" s="117">
        <v>2658</v>
      </c>
      <c r="H33" s="117">
        <v>3150</v>
      </c>
      <c r="I33" s="117">
        <v>3390</v>
      </c>
      <c r="J33" s="117">
        <v>3799</v>
      </c>
      <c r="K33" s="117">
        <v>6153</v>
      </c>
      <c r="L33" s="117">
        <v>6211</v>
      </c>
      <c r="M33" s="117">
        <v>5923</v>
      </c>
      <c r="N33" s="117">
        <v>6719</v>
      </c>
    </row>
    <row r="34" spans="2:14" x14ac:dyDescent="0.3">
      <c r="B34" s="108" t="s">
        <v>281</v>
      </c>
      <c r="C34" s="117">
        <v>1110</v>
      </c>
      <c r="D34" s="117">
        <v>1182</v>
      </c>
      <c r="E34" s="117">
        <v>1187</v>
      </c>
      <c r="F34" s="117">
        <v>1447</v>
      </c>
      <c r="G34" s="117">
        <v>1731</v>
      </c>
      <c r="H34" s="117">
        <v>1907</v>
      </c>
      <c r="I34" s="117">
        <v>1795</v>
      </c>
      <c r="J34" s="117">
        <v>2602</v>
      </c>
      <c r="K34" s="117">
        <v>3871</v>
      </c>
      <c r="L34" s="117">
        <v>4637</v>
      </c>
      <c r="M34" s="117">
        <v>4889</v>
      </c>
      <c r="N34" s="117">
        <v>4314</v>
      </c>
    </row>
    <row r="35" spans="2:14" x14ac:dyDescent="0.3">
      <c r="B35" s="108" t="s">
        <v>274</v>
      </c>
      <c r="C35" s="117">
        <v>229</v>
      </c>
      <c r="D35" s="117">
        <v>204</v>
      </c>
      <c r="E35" s="117">
        <v>424</v>
      </c>
      <c r="F35" s="117">
        <v>801</v>
      </c>
      <c r="G35" s="117">
        <v>405</v>
      </c>
      <c r="H35" s="117">
        <v>445</v>
      </c>
      <c r="I35" s="117">
        <v>783</v>
      </c>
      <c r="J35" s="117">
        <v>611</v>
      </c>
      <c r="K35" s="117">
        <v>864</v>
      </c>
      <c r="L35" s="117">
        <v>844</v>
      </c>
      <c r="M35" s="117">
        <v>1084</v>
      </c>
      <c r="N35" s="117">
        <v>782</v>
      </c>
    </row>
    <row r="36" spans="2:14" x14ac:dyDescent="0.3">
      <c r="B36" s="108" t="s">
        <v>275</v>
      </c>
      <c r="C36" s="117">
        <v>7</v>
      </c>
      <c r="D36" s="117">
        <v>8</v>
      </c>
      <c r="E36" s="117">
        <v>9</v>
      </c>
      <c r="F36" s="117">
        <v>14</v>
      </c>
      <c r="G36" s="117">
        <v>13</v>
      </c>
      <c r="H36" s="117">
        <v>16</v>
      </c>
      <c r="I36" s="117">
        <v>12</v>
      </c>
      <c r="J36" s="117">
        <v>11</v>
      </c>
      <c r="K36" s="117">
        <v>8</v>
      </c>
      <c r="L36" s="117">
        <v>12</v>
      </c>
      <c r="M36" s="117">
        <v>17</v>
      </c>
      <c r="N36" s="117">
        <v>22</v>
      </c>
    </row>
    <row r="37" spans="2:14" x14ac:dyDescent="0.3">
      <c r="B37" s="114" t="s">
        <v>276</v>
      </c>
      <c r="C37" s="121">
        <v>603</v>
      </c>
      <c r="D37" s="121">
        <v>817</v>
      </c>
      <c r="E37" s="121">
        <v>705</v>
      </c>
      <c r="F37" s="121">
        <v>1303</v>
      </c>
      <c r="G37" s="121">
        <v>1678</v>
      </c>
      <c r="H37" s="121">
        <v>1456</v>
      </c>
      <c r="I37" s="121">
        <v>1727</v>
      </c>
      <c r="J37" s="121">
        <v>2555</v>
      </c>
      <c r="K37" s="121">
        <v>2869</v>
      </c>
      <c r="L37" s="121">
        <v>3024</v>
      </c>
      <c r="M37" s="121">
        <v>3555</v>
      </c>
      <c r="N37" s="121">
        <v>3319</v>
      </c>
    </row>
    <row r="38" spans="2:14" x14ac:dyDescent="0.3">
      <c r="B38" s="115" t="s">
        <v>83</v>
      </c>
      <c r="C38" s="122">
        <v>8075</v>
      </c>
      <c r="D38" s="122">
        <v>8914</v>
      </c>
      <c r="E38" s="122">
        <v>10559</v>
      </c>
      <c r="F38" s="122">
        <v>12405</v>
      </c>
      <c r="G38" s="122">
        <v>13763</v>
      </c>
      <c r="H38" s="122">
        <v>16249</v>
      </c>
      <c r="I38" s="122">
        <v>16138</v>
      </c>
      <c r="J38" s="122">
        <v>20355</v>
      </c>
      <c r="K38" s="122">
        <v>22958</v>
      </c>
      <c r="L38" s="122">
        <v>25779</v>
      </c>
      <c r="M38" s="122">
        <v>29901</v>
      </c>
      <c r="N38" s="122">
        <v>30355</v>
      </c>
    </row>
    <row r="41" spans="2:14" x14ac:dyDescent="0.3">
      <c r="B41" s="110" t="s">
        <v>282</v>
      </c>
      <c r="C41" s="130">
        <v>41699</v>
      </c>
      <c r="D41" s="130">
        <v>42064</v>
      </c>
      <c r="E41" s="130">
        <v>42430</v>
      </c>
      <c r="F41" s="130">
        <v>42795</v>
      </c>
      <c r="G41" s="130">
        <v>43160</v>
      </c>
      <c r="H41" s="130">
        <v>43525</v>
      </c>
      <c r="I41" s="130">
        <v>43891</v>
      </c>
      <c r="J41" s="130">
        <v>44256</v>
      </c>
      <c r="K41" s="130">
        <v>44621</v>
      </c>
      <c r="L41" s="130">
        <v>44986</v>
      </c>
      <c r="M41" s="130">
        <v>45352</v>
      </c>
      <c r="N41" s="130">
        <v>45717</v>
      </c>
    </row>
    <row r="42" spans="2:14" x14ac:dyDescent="0.3">
      <c r="B42" t="s">
        <v>293</v>
      </c>
      <c r="C42">
        <v>1402</v>
      </c>
      <c r="D42">
        <v>1188</v>
      </c>
      <c r="E42">
        <v>2243</v>
      </c>
      <c r="F42">
        <v>1527</v>
      </c>
      <c r="G42">
        <v>2113</v>
      </c>
      <c r="H42">
        <v>2470</v>
      </c>
      <c r="I42">
        <v>3038</v>
      </c>
      <c r="J42">
        <v>3683</v>
      </c>
      <c r="K42">
        <v>986</v>
      </c>
      <c r="L42">
        <v>4193</v>
      </c>
      <c r="M42">
        <v>6104</v>
      </c>
      <c r="N42">
        <v>4424</v>
      </c>
    </row>
    <row r="43" spans="2:14" x14ac:dyDescent="0.3">
      <c r="B43" s="105" t="s">
        <v>88</v>
      </c>
      <c r="C43" s="116">
        <v>2051</v>
      </c>
      <c r="D43" s="116">
        <v>2271</v>
      </c>
      <c r="E43" s="116">
        <v>2848</v>
      </c>
      <c r="F43" s="116">
        <v>3056</v>
      </c>
      <c r="G43" s="116">
        <v>3274</v>
      </c>
      <c r="H43" s="116">
        <v>3861</v>
      </c>
      <c r="I43" s="116">
        <v>4380</v>
      </c>
      <c r="J43" s="116">
        <v>4970</v>
      </c>
      <c r="K43" s="116">
        <v>4957</v>
      </c>
      <c r="L43" s="116">
        <v>6460</v>
      </c>
      <c r="M43" s="116">
        <v>7929</v>
      </c>
      <c r="N43" s="116">
        <v>6390</v>
      </c>
    </row>
    <row r="44" spans="2:14" ht="15" thickBot="1" x14ac:dyDescent="0.35">
      <c r="B44" s="106" t="s">
        <v>40</v>
      </c>
      <c r="C44" s="117">
        <v>-254</v>
      </c>
      <c r="D44" s="117">
        <v>-155</v>
      </c>
      <c r="E44" s="117">
        <v>-146</v>
      </c>
      <c r="F44" s="117">
        <v>-475</v>
      </c>
      <c r="G44" s="117">
        <v>-483</v>
      </c>
      <c r="H44" s="117">
        <v>-205</v>
      </c>
      <c r="I44" s="117">
        <v>160</v>
      </c>
      <c r="J44" s="117">
        <v>-849</v>
      </c>
      <c r="K44" s="117">
        <v>-1326</v>
      </c>
      <c r="L44" s="117">
        <v>-834</v>
      </c>
      <c r="M44" s="117">
        <v>-362</v>
      </c>
      <c r="N44" s="117">
        <v>282</v>
      </c>
    </row>
    <row r="45" spans="2:14" x14ac:dyDescent="0.3">
      <c r="B45" s="107" t="s">
        <v>41</v>
      </c>
      <c r="C45" s="118">
        <v>-231</v>
      </c>
      <c r="D45" s="118">
        <v>-144</v>
      </c>
      <c r="E45" s="118">
        <v>202</v>
      </c>
      <c r="F45" s="118">
        <v>-629</v>
      </c>
      <c r="G45" s="118">
        <v>-39</v>
      </c>
      <c r="H45" s="118">
        <v>-492</v>
      </c>
      <c r="I45" s="118">
        <v>-251</v>
      </c>
      <c r="J45" s="118">
        <v>-409</v>
      </c>
      <c r="K45" s="118">
        <v>-2354</v>
      </c>
      <c r="L45" s="118">
        <v>-56</v>
      </c>
      <c r="M45" s="118">
        <v>315</v>
      </c>
      <c r="N45" s="118">
        <v>-805</v>
      </c>
    </row>
    <row r="46" spans="2:14" x14ac:dyDescent="0.3">
      <c r="B46" s="108" t="s">
        <v>89</v>
      </c>
      <c r="C46" s="117">
        <v>317</v>
      </c>
      <c r="D46" s="117">
        <v>-151</v>
      </c>
      <c r="E46" s="117">
        <v>142</v>
      </c>
      <c r="F46" s="117">
        <v>501</v>
      </c>
      <c r="G46" s="117">
        <v>442</v>
      </c>
      <c r="H46" s="117">
        <v>287</v>
      </c>
      <c r="I46" s="117">
        <v>-241</v>
      </c>
      <c r="J46" s="117">
        <v>1143</v>
      </c>
      <c r="K46" s="117">
        <v>644</v>
      </c>
      <c r="L46" s="117">
        <v>-539</v>
      </c>
      <c r="M46" s="117">
        <v>269</v>
      </c>
      <c r="N46" s="117">
        <v>-160</v>
      </c>
    </row>
    <row r="47" spans="2:14" x14ac:dyDescent="0.3">
      <c r="B47" s="108" t="s">
        <v>91</v>
      </c>
      <c r="C47" s="117">
        <v>0</v>
      </c>
      <c r="D47" s="117">
        <v>0</v>
      </c>
      <c r="E47" s="117">
        <v>0</v>
      </c>
      <c r="F47" s="117">
        <v>0</v>
      </c>
      <c r="G47" s="117">
        <v>0</v>
      </c>
      <c r="H47" s="117">
        <v>0</v>
      </c>
      <c r="I47" s="117">
        <v>0</v>
      </c>
      <c r="J47" s="117">
        <v>-92</v>
      </c>
      <c r="K47" s="117">
        <v>242</v>
      </c>
      <c r="L47" s="117">
        <v>657</v>
      </c>
      <c r="M47" s="117">
        <v>-212</v>
      </c>
      <c r="N47" s="117">
        <v>114</v>
      </c>
    </row>
    <row r="48" spans="2:14" x14ac:dyDescent="0.3">
      <c r="B48" s="108" t="s">
        <v>92</v>
      </c>
      <c r="C48" s="117">
        <v>-168</v>
      </c>
      <c r="D48" s="117">
        <v>-450</v>
      </c>
      <c r="E48" s="117">
        <v>198</v>
      </c>
      <c r="F48" s="117">
        <v>-603</v>
      </c>
      <c r="G48" s="117">
        <v>-80</v>
      </c>
      <c r="H48" s="117">
        <v>-410</v>
      </c>
      <c r="I48" s="117">
        <v>-331</v>
      </c>
      <c r="J48" s="117">
        <v>-206</v>
      </c>
      <c r="K48" s="117">
        <v>-2795</v>
      </c>
      <c r="L48" s="117">
        <v>-772</v>
      </c>
      <c r="M48" s="117">
        <v>10</v>
      </c>
      <c r="N48" s="117">
        <v>-570</v>
      </c>
    </row>
    <row r="49" spans="2:14" ht="15" thickBot="1" x14ac:dyDescent="0.35">
      <c r="B49" s="108" t="s">
        <v>93</v>
      </c>
      <c r="C49" s="117">
        <v>-480</v>
      </c>
      <c r="D49" s="117">
        <v>-633</v>
      </c>
      <c r="E49" s="117">
        <v>-802</v>
      </c>
      <c r="F49" s="117">
        <v>-925</v>
      </c>
      <c r="G49" s="117">
        <v>-1081</v>
      </c>
      <c r="H49" s="117">
        <v>-982</v>
      </c>
      <c r="I49" s="117">
        <v>-1011</v>
      </c>
      <c r="J49" s="117">
        <v>-1080</v>
      </c>
      <c r="K49" s="117">
        <v>-1176</v>
      </c>
      <c r="L49" s="117">
        <v>-1494</v>
      </c>
      <c r="M49" s="117">
        <v>-1835</v>
      </c>
      <c r="N49" s="117">
        <v>-1396</v>
      </c>
    </row>
    <row r="50" spans="2:14" x14ac:dyDescent="0.3">
      <c r="B50" s="107" t="s">
        <v>294</v>
      </c>
      <c r="C50" s="118">
        <v>-586</v>
      </c>
      <c r="D50" s="118">
        <v>-465</v>
      </c>
      <c r="E50" s="118">
        <v>-866</v>
      </c>
      <c r="F50" s="118">
        <v>-681</v>
      </c>
      <c r="G50" s="118">
        <v>-1556</v>
      </c>
      <c r="H50" s="118">
        <v>-918</v>
      </c>
      <c r="I50" s="118">
        <v>-518</v>
      </c>
      <c r="J50" s="118">
        <v>-541</v>
      </c>
      <c r="K50" s="118">
        <v>-317</v>
      </c>
      <c r="L50" s="118">
        <v>-1282</v>
      </c>
      <c r="M50" s="118">
        <v>-2548</v>
      </c>
      <c r="N50" s="118">
        <v>-941</v>
      </c>
    </row>
    <row r="51" spans="2:14" x14ac:dyDescent="0.3">
      <c r="B51" s="108" t="s">
        <v>95</v>
      </c>
      <c r="C51" s="117">
        <v>-251</v>
      </c>
      <c r="D51" s="117">
        <v>-454</v>
      </c>
      <c r="E51" s="117">
        <v>-817</v>
      </c>
      <c r="F51" s="117">
        <v>-684</v>
      </c>
      <c r="G51" s="117">
        <v>-1426</v>
      </c>
      <c r="H51" s="117">
        <v>-1151</v>
      </c>
      <c r="I51" s="117">
        <v>-404</v>
      </c>
      <c r="J51" s="117">
        <v>-282</v>
      </c>
      <c r="K51" s="117">
        <v>-551</v>
      </c>
      <c r="L51" s="117">
        <v>-1446</v>
      </c>
      <c r="M51" s="117">
        <v>-2496</v>
      </c>
      <c r="N51" s="117">
        <v>-1830</v>
      </c>
    </row>
    <row r="52" spans="2:14" x14ac:dyDescent="0.3">
      <c r="B52" s="108" t="s">
        <v>96</v>
      </c>
      <c r="C52" s="117">
        <v>16</v>
      </c>
      <c r="D52" s="117">
        <v>16</v>
      </c>
      <c r="E52" s="117">
        <v>15</v>
      </c>
      <c r="F52" s="117">
        <v>17</v>
      </c>
      <c r="G52" s="117">
        <v>17</v>
      </c>
      <c r="H52" s="117">
        <v>17</v>
      </c>
      <c r="I52" s="117">
        <v>37</v>
      </c>
      <c r="J52" s="117">
        <v>28</v>
      </c>
      <c r="K52" s="117">
        <v>40</v>
      </c>
      <c r="L52" s="117">
        <v>26</v>
      </c>
      <c r="M52" s="117">
        <v>5</v>
      </c>
      <c r="N52" s="117">
        <v>10</v>
      </c>
    </row>
    <row r="53" spans="2:14" x14ac:dyDescent="0.3">
      <c r="B53" s="108" t="s">
        <v>97</v>
      </c>
      <c r="C53" s="117">
        <v>-872</v>
      </c>
      <c r="D53" s="117">
        <v>-243</v>
      </c>
      <c r="E53" s="117">
        <v>-282</v>
      </c>
      <c r="F53" s="117">
        <v>-153</v>
      </c>
      <c r="G53" s="117">
        <v>-320</v>
      </c>
      <c r="H53" s="117">
        <v>-573</v>
      </c>
      <c r="I53" s="117">
        <v>-25</v>
      </c>
      <c r="J53" s="117">
        <v>-140</v>
      </c>
      <c r="K53" s="117">
        <v>0</v>
      </c>
      <c r="L53" s="117">
        <v>-146</v>
      </c>
      <c r="M53" s="117">
        <v>-212</v>
      </c>
      <c r="N53" s="117">
        <v>-1</v>
      </c>
    </row>
    <row r="54" spans="2:14" ht="15" thickBot="1" x14ac:dyDescent="0.35">
      <c r="B54" s="108" t="s">
        <v>98</v>
      </c>
      <c r="C54" s="117">
        <v>463</v>
      </c>
      <c r="D54" s="117">
        <v>278</v>
      </c>
      <c r="E54" s="117">
        <v>205</v>
      </c>
      <c r="F54" s="117">
        <v>357</v>
      </c>
      <c r="G54" s="117">
        <v>362</v>
      </c>
      <c r="H54" s="117">
        <v>733</v>
      </c>
      <c r="I54" s="117">
        <v>134</v>
      </c>
      <c r="J54" s="117">
        <v>272</v>
      </c>
      <c r="K54" s="117">
        <v>207</v>
      </c>
      <c r="L54" s="117">
        <v>446</v>
      </c>
      <c r="M54" s="117">
        <v>240</v>
      </c>
      <c r="N54" s="117">
        <v>421</v>
      </c>
    </row>
    <row r="55" spans="2:14" ht="15" thickBot="1" x14ac:dyDescent="0.35">
      <c r="B55" s="107" t="s">
        <v>99</v>
      </c>
      <c r="C55" s="118">
        <v>14</v>
      </c>
      <c r="D55" s="118">
        <v>11</v>
      </c>
      <c r="E55" s="118">
        <v>15</v>
      </c>
      <c r="F55" s="118">
        <v>32</v>
      </c>
      <c r="G55" s="118">
        <v>39</v>
      </c>
      <c r="H55" s="118">
        <v>40</v>
      </c>
      <c r="I55" s="118">
        <v>65</v>
      </c>
      <c r="J55" s="118">
        <v>73</v>
      </c>
      <c r="K55" s="118">
        <v>77</v>
      </c>
      <c r="L55" s="118">
        <v>87</v>
      </c>
      <c r="M55" s="118">
        <v>135</v>
      </c>
      <c r="N55" s="118">
        <v>155</v>
      </c>
    </row>
    <row r="56" spans="2:14" x14ac:dyDescent="0.3">
      <c r="B56" s="107" t="s">
        <v>100</v>
      </c>
      <c r="C56" s="118">
        <v>65</v>
      </c>
      <c r="D56" s="118">
        <v>71</v>
      </c>
      <c r="E56" s="118">
        <v>69</v>
      </c>
      <c r="F56" s="118">
        <v>74</v>
      </c>
      <c r="G56" s="118">
        <v>38</v>
      </c>
      <c r="H56" s="118">
        <v>40</v>
      </c>
      <c r="I56" s="118">
        <v>27</v>
      </c>
      <c r="J56" s="118">
        <v>8</v>
      </c>
      <c r="K56" s="118">
        <v>15</v>
      </c>
      <c r="L56" s="118">
        <v>56</v>
      </c>
      <c r="M56" s="118">
        <v>129</v>
      </c>
      <c r="N56" s="118">
        <v>136</v>
      </c>
    </row>
    <row r="57" spans="2:14" x14ac:dyDescent="0.3">
      <c r="B57" s="108" t="s">
        <v>101</v>
      </c>
      <c r="C57" s="117">
        <v>0</v>
      </c>
      <c r="D57" s="117">
        <v>0</v>
      </c>
      <c r="E57" s="117">
        <v>0</v>
      </c>
      <c r="F57" s="117">
        <v>0</v>
      </c>
      <c r="G57" s="117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-180</v>
      </c>
      <c r="M57" s="117">
        <v>0</v>
      </c>
      <c r="N57" s="117">
        <v>0</v>
      </c>
    </row>
    <row r="58" spans="2:14" x14ac:dyDescent="0.3">
      <c r="B58" s="108" t="s">
        <v>102</v>
      </c>
      <c r="C58" s="117">
        <v>0</v>
      </c>
      <c r="D58" s="117">
        <v>0</v>
      </c>
      <c r="E58" s="117">
        <v>0</v>
      </c>
      <c r="F58" s="117">
        <v>0</v>
      </c>
      <c r="G58" s="117">
        <v>141</v>
      </c>
      <c r="H58" s="117">
        <v>0</v>
      </c>
      <c r="I58" s="117">
        <v>0</v>
      </c>
      <c r="J58" s="117">
        <v>0</v>
      </c>
      <c r="K58" s="117">
        <v>0</v>
      </c>
      <c r="L58" s="117">
        <v>0</v>
      </c>
      <c r="M58" s="117">
        <v>0</v>
      </c>
      <c r="N58" s="117">
        <v>38</v>
      </c>
    </row>
    <row r="59" spans="2:14" x14ac:dyDescent="0.3">
      <c r="B59" s="108" t="s">
        <v>103</v>
      </c>
      <c r="C59" s="117">
        <v>0</v>
      </c>
      <c r="D59" s="117">
        <v>0</v>
      </c>
      <c r="E59" s="117">
        <v>0</v>
      </c>
      <c r="F59" s="117">
        <v>0</v>
      </c>
      <c r="G59" s="117">
        <v>-525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0</v>
      </c>
    </row>
    <row r="60" spans="2:14" x14ac:dyDescent="0.3">
      <c r="B60" s="108" t="s">
        <v>105</v>
      </c>
      <c r="C60" s="117">
        <v>-21</v>
      </c>
      <c r="D60" s="117">
        <v>-144</v>
      </c>
      <c r="E60" s="117">
        <v>-70</v>
      </c>
      <c r="F60" s="117">
        <v>-324</v>
      </c>
      <c r="G60" s="117">
        <v>118</v>
      </c>
      <c r="H60" s="117">
        <v>-24</v>
      </c>
      <c r="I60" s="117">
        <v>-353</v>
      </c>
      <c r="J60" s="117">
        <v>-500</v>
      </c>
      <c r="K60" s="117">
        <v>-105</v>
      </c>
      <c r="L60" s="117">
        <v>-126</v>
      </c>
      <c r="M60" s="117">
        <v>-350</v>
      </c>
      <c r="N60" s="117">
        <v>130</v>
      </c>
    </row>
    <row r="61" spans="2:14" x14ac:dyDescent="0.3">
      <c r="B61" s="108" t="s">
        <v>295</v>
      </c>
      <c r="C61" s="117">
        <v>-626</v>
      </c>
      <c r="D61" s="117">
        <v>-576</v>
      </c>
      <c r="E61" s="117">
        <v>-849</v>
      </c>
      <c r="F61" s="117">
        <v>-756</v>
      </c>
      <c r="G61" s="117">
        <v>-1379</v>
      </c>
      <c r="H61" s="117">
        <v>-1117</v>
      </c>
      <c r="I61" s="117">
        <v>-2871</v>
      </c>
      <c r="J61" s="117">
        <v>-650</v>
      </c>
      <c r="K61" s="117">
        <v>-1808</v>
      </c>
      <c r="L61" s="117">
        <v>-2140</v>
      </c>
      <c r="M61" s="117">
        <v>-2982</v>
      </c>
      <c r="N61" s="117">
        <v>-3753</v>
      </c>
    </row>
    <row r="62" spans="2:14" x14ac:dyDescent="0.3">
      <c r="B62" s="108" t="s">
        <v>107</v>
      </c>
      <c r="C62" s="117">
        <v>0</v>
      </c>
      <c r="D62" s="117">
        <v>0</v>
      </c>
      <c r="E62" s="117">
        <v>0</v>
      </c>
      <c r="F62" s="117">
        <v>0</v>
      </c>
      <c r="G62" s="117">
        <v>0</v>
      </c>
      <c r="H62" s="117">
        <v>0</v>
      </c>
      <c r="I62" s="117">
        <v>0</v>
      </c>
      <c r="J62" s="117">
        <v>0</v>
      </c>
      <c r="K62" s="117">
        <v>0</v>
      </c>
      <c r="L62" s="117">
        <v>0</v>
      </c>
      <c r="M62" s="117">
        <v>1</v>
      </c>
      <c r="N62" s="117">
        <v>0</v>
      </c>
    </row>
    <row r="63" spans="2:14" x14ac:dyDescent="0.3">
      <c r="B63" s="108" t="s">
        <v>109</v>
      </c>
      <c r="C63" s="117">
        <v>44</v>
      </c>
      <c r="D63" s="117">
        <v>239</v>
      </c>
      <c r="E63" s="117">
        <v>8</v>
      </c>
      <c r="F63" s="117">
        <v>271</v>
      </c>
      <c r="G63" s="117">
        <v>10</v>
      </c>
      <c r="H63" s="117">
        <v>243</v>
      </c>
      <c r="I63" s="117">
        <v>18</v>
      </c>
      <c r="J63" s="117">
        <v>155</v>
      </c>
      <c r="K63" s="117">
        <v>418</v>
      </c>
      <c r="L63" s="117">
        <v>254</v>
      </c>
      <c r="M63" s="117">
        <v>101</v>
      </c>
      <c r="N63" s="117">
        <v>415</v>
      </c>
    </row>
    <row r="64" spans="2:14" ht="15" thickBot="1" x14ac:dyDescent="0.35">
      <c r="B64" s="108" t="s">
        <v>110</v>
      </c>
      <c r="C64" s="117">
        <v>-81</v>
      </c>
      <c r="D64" s="117">
        <v>-86</v>
      </c>
      <c r="E64" s="117">
        <v>-119</v>
      </c>
      <c r="F64" s="117">
        <v>-58</v>
      </c>
      <c r="G64" s="117">
        <v>-54</v>
      </c>
      <c r="H64" s="117">
        <v>-26</v>
      </c>
      <c r="I64" s="117">
        <v>-279</v>
      </c>
      <c r="J64" s="117">
        <v>-14</v>
      </c>
      <c r="K64" s="117">
        <v>-8</v>
      </c>
      <c r="L64" s="117">
        <v>-25</v>
      </c>
      <c r="M64" s="117">
        <v>-98</v>
      </c>
      <c r="N64" s="117">
        <v>-428</v>
      </c>
    </row>
    <row r="65" spans="2:14" x14ac:dyDescent="0.3">
      <c r="B65" s="109" t="s">
        <v>111</v>
      </c>
      <c r="C65" s="118">
        <v>-42</v>
      </c>
      <c r="D65" s="118">
        <v>-35</v>
      </c>
      <c r="E65" s="118">
        <v>-40</v>
      </c>
      <c r="F65" s="118">
        <v>-36</v>
      </c>
      <c r="G65" s="118">
        <v>-35</v>
      </c>
      <c r="H65" s="118">
        <v>-106</v>
      </c>
      <c r="I65" s="118">
        <v>-101</v>
      </c>
      <c r="J65" s="118">
        <v>-89</v>
      </c>
      <c r="K65" s="118">
        <v>-94</v>
      </c>
      <c r="L65" s="118">
        <v>-142</v>
      </c>
      <c r="M65" s="118">
        <v>-191</v>
      </c>
      <c r="N65" s="118">
        <v>-203</v>
      </c>
    </row>
    <row r="66" spans="2:14" x14ac:dyDescent="0.3">
      <c r="B66" s="113" t="s">
        <v>112</v>
      </c>
      <c r="C66" s="119">
        <v>-547</v>
      </c>
      <c r="D66" s="119">
        <v>-695</v>
      </c>
      <c r="E66" s="119">
        <v>-764</v>
      </c>
      <c r="F66" s="119">
        <v>-947</v>
      </c>
      <c r="G66" s="119">
        <v>-1218</v>
      </c>
      <c r="H66" s="119">
        <v>-1049</v>
      </c>
      <c r="I66" s="119">
        <v>-2121</v>
      </c>
      <c r="J66" s="119">
        <v>-499</v>
      </c>
      <c r="K66" s="119">
        <v>-1763</v>
      </c>
      <c r="L66" s="119">
        <v>-1936</v>
      </c>
      <c r="M66" s="119">
        <v>-2551</v>
      </c>
      <c r="N66" s="119">
        <v>-3140</v>
      </c>
    </row>
    <row r="67" spans="2:14" x14ac:dyDescent="0.3">
      <c r="B67" s="111" t="s">
        <v>113</v>
      </c>
      <c r="C67" s="120">
        <v>0</v>
      </c>
      <c r="D67" s="120">
        <v>0</v>
      </c>
      <c r="E67" s="120">
        <v>0</v>
      </c>
      <c r="F67" s="120">
        <v>0</v>
      </c>
      <c r="G67" s="120">
        <v>0</v>
      </c>
      <c r="H67" s="120">
        <v>-180</v>
      </c>
      <c r="I67" s="120">
        <v>-179</v>
      </c>
      <c r="J67" s="120">
        <v>-203</v>
      </c>
      <c r="K67" s="120">
        <v>-221</v>
      </c>
      <c r="L67" s="120">
        <v>-256</v>
      </c>
      <c r="M67" s="120">
        <v>-286</v>
      </c>
      <c r="N67" s="120">
        <v>-325</v>
      </c>
    </row>
    <row r="68" spans="2:14" x14ac:dyDescent="0.3">
      <c r="B68" s="111" t="s">
        <v>114</v>
      </c>
      <c r="C68" s="120">
        <v>0</v>
      </c>
      <c r="D68" s="120">
        <v>0</v>
      </c>
      <c r="E68" s="120">
        <v>66</v>
      </c>
      <c r="F68" s="120">
        <v>13</v>
      </c>
      <c r="G68" s="120">
        <v>-82</v>
      </c>
      <c r="H68" s="120">
        <v>0</v>
      </c>
      <c r="I68" s="120">
        <v>-209</v>
      </c>
      <c r="J68" s="120">
        <v>0</v>
      </c>
      <c r="K68" s="120">
        <v>-140</v>
      </c>
      <c r="L68" s="120">
        <v>-36</v>
      </c>
      <c r="M68" s="120">
        <v>41</v>
      </c>
      <c r="N68" s="120">
        <v>-72</v>
      </c>
    </row>
    <row r="69" spans="2:14" x14ac:dyDescent="0.3">
      <c r="B69" s="112" t="s">
        <v>50</v>
      </c>
      <c r="C69" s="117">
        <v>190</v>
      </c>
      <c r="D69" s="117">
        <v>147</v>
      </c>
      <c r="E69" s="117">
        <v>528</v>
      </c>
      <c r="F69" s="117">
        <v>90</v>
      </c>
      <c r="G69" s="117">
        <v>-822</v>
      </c>
      <c r="H69" s="117">
        <v>434</v>
      </c>
      <c r="I69" s="117">
        <v>-351</v>
      </c>
      <c r="J69" s="117">
        <v>2492</v>
      </c>
      <c r="K69" s="117">
        <v>-1138</v>
      </c>
      <c r="L69" s="117">
        <v>771</v>
      </c>
      <c r="M69" s="117">
        <v>573</v>
      </c>
      <c r="N69" s="117">
        <v>-270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1F97-CFF1-43D6-80EC-142C35CE767D}">
  <sheetPr>
    <tabColor theme="6" tint="-0.249977111117893"/>
  </sheetPr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17D1-F11E-40B6-B257-F988C8B52E35}">
  <sheetPr>
    <tabColor theme="9" tint="-0.499984740745262"/>
  </sheetPr>
  <dimension ref="B2:O41"/>
  <sheetViews>
    <sheetView showGridLines="0" zoomScale="131" zoomScaleNormal="131" workbookViewId="0">
      <pane ySplit="3" topLeftCell="A4" activePane="bottomLeft" state="frozen"/>
      <selection pane="bottomLeft" activeCell="C14" sqref="C14"/>
    </sheetView>
  </sheetViews>
  <sheetFormatPr defaultRowHeight="14.4" x14ac:dyDescent="0.3"/>
  <cols>
    <col min="1" max="1" width="1.88671875" customWidth="1"/>
    <col min="2" max="2" width="24" bestFit="1" customWidth="1"/>
    <col min="8" max="9" width="9.6640625" bestFit="1" customWidth="1"/>
    <col min="13" max="13" width="16" customWidth="1"/>
    <col min="14" max="15" width="10.6640625" bestFit="1" customWidth="1"/>
  </cols>
  <sheetData>
    <row r="2" spans="2:15" x14ac:dyDescent="0.3">
      <c r="B2" s="151" t="str">
        <f>"Ratio Analysis of - "&amp;'Data Sheet'!B1</f>
        <v>Ratio Analysis of - ASIAN PAINTS LTD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</row>
    <row r="3" spans="2:15" x14ac:dyDescent="0.3">
      <c r="B3" s="110" t="s">
        <v>54</v>
      </c>
      <c r="C3" s="124">
        <f>'Data Sheet'!B16</f>
        <v>42460</v>
      </c>
      <c r="D3" s="124">
        <f>'Data Sheet'!C16</f>
        <v>42825</v>
      </c>
      <c r="E3" s="124">
        <f>'Data Sheet'!D16</f>
        <v>43190</v>
      </c>
      <c r="F3" s="124">
        <f>'Data Sheet'!E16</f>
        <v>43555</v>
      </c>
      <c r="G3" s="124">
        <f>'Data Sheet'!F16</f>
        <v>43921</v>
      </c>
      <c r="H3" s="124">
        <f>'Data Sheet'!G16</f>
        <v>44286</v>
      </c>
      <c r="I3" s="124">
        <f>'Data Sheet'!H16</f>
        <v>44651</v>
      </c>
      <c r="J3" s="124">
        <f>'Data Sheet'!I16</f>
        <v>45016</v>
      </c>
      <c r="K3" s="124">
        <f>'Data Sheet'!J16</f>
        <v>45382</v>
      </c>
      <c r="L3" s="124">
        <f>'Data Sheet'!K16</f>
        <v>45747</v>
      </c>
      <c r="M3" s="124"/>
      <c r="N3" s="149" t="s">
        <v>152</v>
      </c>
      <c r="O3" s="149" t="s">
        <v>153</v>
      </c>
    </row>
    <row r="5" spans="2:15" x14ac:dyDescent="0.3">
      <c r="B5" s="33" t="s">
        <v>121</v>
      </c>
      <c r="C5" s="33"/>
      <c r="D5" s="34">
        <f>IFERROR(HistoricalFS!D7,0)</f>
        <v>5.5390151974320734E-2</v>
      </c>
      <c r="E5" s="34">
        <f>IFERROR(HistoricalFS!E7,0)</f>
        <v>0.11702039371955486</v>
      </c>
      <c r="F5" s="34">
        <f>IFERROR(HistoricalFS!F7,0)</f>
        <v>0.14357471670861943</v>
      </c>
      <c r="G5" s="34">
        <f>IFERROR(HistoricalFS!G7,0)</f>
        <v>5.0473671435691925E-2</v>
      </c>
      <c r="H5" s="34">
        <f>IFERROR(HistoricalFS!H7,0)</f>
        <v>7.4292287711052118E-2</v>
      </c>
      <c r="I5" s="34">
        <f>IFERROR(HistoricalFS!I7,0)</f>
        <v>0.34028284711453471</v>
      </c>
      <c r="J5" s="34">
        <f>IFERROR(HistoricalFS!J7,0)</f>
        <v>0.18512278497715551</v>
      </c>
      <c r="K5" s="34">
        <f>IFERROR(HistoricalFS!K7,0)</f>
        <v>2.9173126532572313E-2</v>
      </c>
      <c r="L5" s="34">
        <f>IFERROR(HistoricalFS!L7,0)</f>
        <v>-4.4770308155605121E-2</v>
      </c>
      <c r="N5" s="34">
        <f>IFERROR(AVERAGE(D5:L5),0)</f>
        <v>0.10561774133532183</v>
      </c>
      <c r="O5" s="34">
        <f>IFERROR(MEDIAN(C5:L5),0)</f>
        <v>7.4292287711052118E-2</v>
      </c>
    </row>
    <row r="6" spans="2:15" x14ac:dyDescent="0.3">
      <c r="B6" t="s">
        <v>122</v>
      </c>
      <c r="D6" s="35">
        <f>IFERROR(HistoricalFS!D18/HistoricalFS!C18-1,0)</f>
        <v>9.861139652995865E-2</v>
      </c>
      <c r="E6" s="35">
        <f>IFERROR(HistoricalFS!E18/HistoricalFS!D18-1,0)</f>
        <v>7.0229410507188561E-2</v>
      </c>
      <c r="F6" s="35">
        <f>IFERROR(HistoricalFS!F18/HistoricalFS!E18-1,0)</f>
        <v>0.17507123885381137</v>
      </c>
      <c r="G6" s="35">
        <f>IFERROR(HistoricalFS!G18/HistoricalFS!F18-1,0)</f>
        <v>0.10408665211132084</v>
      </c>
      <c r="H6" s="35">
        <f>IFERROR(HistoricalFS!H18/HistoricalFS!G18-1,0)</f>
        <v>0.16810446447043792</v>
      </c>
      <c r="I6" s="35">
        <f>IFERROR(HistoricalFS!I18/HistoricalFS!H18-1,0)</f>
        <v>-1.0707224647830249E-2</v>
      </c>
      <c r="J6" s="35">
        <f>IFERROR(HistoricalFS!J18/HistoricalFS!I18-1,0)</f>
        <v>0.3031532534906034</v>
      </c>
      <c r="K6" s="35">
        <f>IFERROR(HistoricalFS!K18/HistoricalFS!J18-1,0)</f>
        <v>0.21168911665473988</v>
      </c>
      <c r="L6" s="35">
        <f>IFERROR(HistoricalFS!L18/HistoricalFS!K18-1,0)</f>
        <v>-0.20814425351154509</v>
      </c>
      <c r="N6" s="35">
        <f t="shared" ref="N6:N9" si="0">IFERROR(AVERAGE(D6:L6),0)</f>
        <v>0.1013437838287428</v>
      </c>
      <c r="O6" s="35">
        <f t="shared" ref="O6:O24" si="1">IFERROR(MEDIAN(C6:L6),0)</f>
        <v>0.10408665211132084</v>
      </c>
    </row>
    <row r="7" spans="2:15" x14ac:dyDescent="0.3">
      <c r="B7" t="s">
        <v>123</v>
      </c>
      <c r="D7" s="35">
        <f>IFERROR(HistoricalFS!D27/HistoricalFS!C27-1,0)</f>
        <v>9.2140673037667264E-2</v>
      </c>
      <c r="E7" s="35">
        <f>IFERROR(HistoricalFS!E27/HistoricalFS!D27-1,0)</f>
        <v>6.8823331960147449E-2</v>
      </c>
      <c r="F7" s="35">
        <f>IFERROR(HistoricalFS!F27/HistoricalFS!E27-1,0)</f>
        <v>8.2174963509120014E-2</v>
      </c>
      <c r="G7" s="35">
        <f>IFERROR(HistoricalFS!G27/HistoricalFS!F27-1,0)</f>
        <v>7.9694492354063229E-2</v>
      </c>
      <c r="H7" s="35">
        <f>IFERROR(HistoricalFS!H27/HistoricalFS!G27-1,0)</f>
        <v>0.21341238061203782</v>
      </c>
      <c r="I7" s="35">
        <f>IFERROR(HistoricalFS!I27/HistoricalFS!H27-1,0)</f>
        <v>-2.0353915473104944E-2</v>
      </c>
      <c r="J7" s="35">
        <f>IFERROR(HistoricalFS!J27/HistoricalFS!I27-1,0)</f>
        <v>0.35087002548922808</v>
      </c>
      <c r="K7" s="35">
        <f>IFERROR(HistoricalFS!K27/HistoricalFS!J27-1,0)</f>
        <v>0.24145913260813057</v>
      </c>
      <c r="L7" s="35">
        <f>IFERROR(HistoricalFS!L27/HistoricalFS!K27-1,0)</f>
        <v>-0.2717958696514835</v>
      </c>
      <c r="N7" s="35">
        <f t="shared" si="0"/>
        <v>9.2936134938422885E-2</v>
      </c>
      <c r="O7" s="35">
        <f t="shared" si="1"/>
        <v>8.2174963509120014E-2</v>
      </c>
    </row>
    <row r="8" spans="2:15" x14ac:dyDescent="0.3">
      <c r="B8" t="s">
        <v>124</v>
      </c>
      <c r="D8" s="35">
        <f>IFERROR(HistoricalFS!D33/HistoricalFS!C33-1,0)</f>
        <v>7.8651902028958665E-2</v>
      </c>
      <c r="E8" s="35">
        <f>IFERROR(HistoricalFS!E33/HistoricalFS!D33-1,0)</f>
        <v>4.9310334554771407E-2</v>
      </c>
      <c r="F8" s="35">
        <f>IFERROR(HistoricalFS!F33/HistoricalFS!E33-1,0)</f>
        <v>9.8324352255112046E-2</v>
      </c>
      <c r="G8" s="35">
        <f>IFERROR(HistoricalFS!G33/HistoricalFS!F33-1,0)</f>
        <v>0.25067338065523237</v>
      </c>
      <c r="H8" s="35">
        <f>IFERROR(HistoricalFS!H33/HistoricalFS!G33-1,0)</f>
        <v>0.18848020370875829</v>
      </c>
      <c r="I8" s="35">
        <f>IFERROR(HistoricalFS!I33/HistoricalFS!H33-1,0)</f>
        <v>-2.9971131438908061E-2</v>
      </c>
      <c r="J8" s="35">
        <f>IFERROR(HistoricalFS!J33/HistoricalFS!I33-1,0)</f>
        <v>0.34957492658474654</v>
      </c>
      <c r="K8" s="35">
        <f>IFERROR(HistoricalFS!K33/HistoricalFS!J33-1,0)</f>
        <v>0.25847332665581102</v>
      </c>
      <c r="L8" s="35">
        <f>IFERROR(HistoricalFS!L33/HistoricalFS!K33-1,0)</f>
        <v>-0.29075754792863395</v>
      </c>
      <c r="N8" s="35">
        <f t="shared" si="0"/>
        <v>0.10586219411953872</v>
      </c>
      <c r="O8" s="35">
        <f t="shared" si="1"/>
        <v>9.8324352255112046E-2</v>
      </c>
    </row>
    <row r="9" spans="2:15" x14ac:dyDescent="0.3">
      <c r="B9" s="36" t="s">
        <v>125</v>
      </c>
      <c r="C9" s="36"/>
      <c r="D9" s="37">
        <f>IFERROR(HistoricalFS!D41/HistoricalFS!C41-1,0)</f>
        <v>0.37333889352237981</v>
      </c>
      <c r="E9" s="37">
        <f>IFERROR(HistoricalFS!E41/HistoricalFS!D41-1,0)</f>
        <v>-0.15534727423632066</v>
      </c>
      <c r="F9" s="37">
        <f>IFERROR(HistoricalFS!F41/HistoricalFS!E41-1,0)</f>
        <v>0.20690233672858005</v>
      </c>
      <c r="G9" s="37">
        <f>IFERROR(HistoricalFS!G41/HistoricalFS!F41-1,0)</f>
        <v>0.14285714285714279</v>
      </c>
      <c r="H9" s="37">
        <f>IFERROR(HistoricalFS!H41/HistoricalFS!G41-1,0)</f>
        <v>0.48749826244092298</v>
      </c>
      <c r="I9" s="37">
        <f>IFERROR(HistoricalFS!I41/HistoricalFS!H41-1,0)</f>
        <v>7.2831552941588606E-2</v>
      </c>
      <c r="J9" s="37">
        <f>IFERROR(HistoricalFS!J41/HistoricalFS!I41-1,0)</f>
        <v>0.33942521789783719</v>
      </c>
      <c r="K9" s="37">
        <f>IFERROR(HistoricalFS!K41/HistoricalFS!J41-1,0)</f>
        <v>0.2982461844859472</v>
      </c>
      <c r="L9" s="37">
        <f>IFERROR(HistoricalFS!L41/HistoricalFS!K41-1,0)</f>
        <v>-0.25525493560081891</v>
      </c>
      <c r="N9" s="37">
        <f t="shared" si="0"/>
        <v>0.16783304233747323</v>
      </c>
      <c r="O9" s="37">
        <f t="shared" si="1"/>
        <v>0.20690233672858005</v>
      </c>
    </row>
    <row r="11" spans="2:15" x14ac:dyDescent="0.3">
      <c r="B11" s="33" t="s">
        <v>71</v>
      </c>
      <c r="C11" s="34">
        <f>IFERROR(HistoricalFS!C13,0)</f>
        <v>0.34037441080083447</v>
      </c>
      <c r="D11" s="34">
        <f>IFERROR(HistoricalFS!D13,0)</f>
        <v>0.35382642001488518</v>
      </c>
      <c r="E11" s="34">
        <f>IFERROR(HistoricalFS!E13,0)</f>
        <v>0.33465263558312119</v>
      </c>
      <c r="F11" s="34">
        <f>IFERROR(HistoricalFS!F13,0)</f>
        <v>0.3292243867375117</v>
      </c>
      <c r="G11" s="34">
        <f>IFERROR(HistoricalFS!G13,0)</f>
        <v>0.34897544684272364</v>
      </c>
      <c r="H11" s="34">
        <f>IFERROR(HistoricalFS!H13,0)</f>
        <v>0.35360356729835285</v>
      </c>
      <c r="I11" s="34">
        <f>IFERROR(HistoricalFS!I13,0)</f>
        <v>0.29245139732685294</v>
      </c>
      <c r="J11" s="34">
        <f>IFERROR(HistoricalFS!J13,0)</f>
        <v>0.31088223670495074</v>
      </c>
      <c r="K11" s="34">
        <f>IFERROR(HistoricalFS!K13,0)</f>
        <v>0.35173503221464147</v>
      </c>
      <c r="L11" s="34">
        <f>IFERROR(HistoricalFS!L13,0)</f>
        <v>0.32927727025785108</v>
      </c>
      <c r="N11" s="34">
        <f>IFERROR(AVERAGE(C11:L11),0)</f>
        <v>0.33450028037817253</v>
      </c>
      <c r="O11" s="34">
        <f t="shared" si="1"/>
        <v>0.3375135231919778</v>
      </c>
    </row>
    <row r="12" spans="2:15" x14ac:dyDescent="0.3">
      <c r="B12" t="s">
        <v>126</v>
      </c>
      <c r="C12" s="35">
        <f>IFERROR(HistoricalFS!C19,0)</f>
        <v>0.19094292186730338</v>
      </c>
      <c r="D12" s="35">
        <f>IFERROR(HistoricalFS!D19,0)</f>
        <v>0.19876258050895004</v>
      </c>
      <c r="E12" s="35">
        <f>IFERROR(HistoricalFS!E19,0)</f>
        <v>0.19043659414367703</v>
      </c>
      <c r="F12" s="35">
        <f>IFERROR(HistoricalFS!F19,0)</f>
        <v>0.19568163000977651</v>
      </c>
      <c r="G12" s="35">
        <f>IFERROR(HistoricalFS!G19,0)</f>
        <v>0.20566862514688591</v>
      </c>
      <c r="H12" s="35">
        <f>IFERROR(HistoricalFS!H19,0)</f>
        <v>0.22362856178317034</v>
      </c>
      <c r="I12" s="35">
        <f>IFERROR(HistoricalFS!I19,0)</f>
        <v>0.16506524798909186</v>
      </c>
      <c r="J12" s="35">
        <f>IFERROR(HistoricalFS!J19,0)</f>
        <v>0.1815046657459756</v>
      </c>
      <c r="K12" s="35">
        <f>IFERROR(HistoricalFS!K19,0)</f>
        <v>0.21369313134654075</v>
      </c>
      <c r="L12" s="35">
        <f>IFERROR(HistoricalFS!L19,0)</f>
        <v>0.17714496888716388</v>
      </c>
      <c r="N12" s="35">
        <f t="shared" ref="N12:N41" si="2">IFERROR(AVERAGE(C12:L12),0)</f>
        <v>0.19425289274285351</v>
      </c>
      <c r="O12" s="35">
        <f t="shared" si="1"/>
        <v>0.19331227593853995</v>
      </c>
    </row>
    <row r="13" spans="2:15" x14ac:dyDescent="0.3">
      <c r="B13" t="s">
        <v>127</v>
      </c>
      <c r="C13" s="35">
        <f>IFERROR((HistoricalFS!C18-HistoricalFS!C24)/HistoricalFS!C6,0)</f>
        <v>0.17163309507276406</v>
      </c>
      <c r="D13" s="35">
        <f>IFERROR((HistoricalFS!D18-HistoricalFS!D24)/HistoricalFS!D6,0)</f>
        <v>0.17653510591893901</v>
      </c>
      <c r="E13" s="35">
        <f>IFERROR((HistoricalFS!E18-HistoricalFS!E24)/HistoricalFS!E6,0)</f>
        <v>0.16901135543001156</v>
      </c>
      <c r="F13" s="35">
        <f>IFERROR((HistoricalFS!F18-HistoricalFS!F24)/HistoricalFS!F6,0)</f>
        <v>0.16334608965739844</v>
      </c>
      <c r="G13" s="35">
        <f>IFERROR((HistoricalFS!G18-HistoricalFS!G24)/HistoricalFS!G6,0)</f>
        <v>0.16705151833755943</v>
      </c>
      <c r="H13" s="35">
        <f>IFERROR((HistoricalFS!H18-HistoricalFS!H24)/HistoricalFS!H6,0)</f>
        <v>0.18718598577152007</v>
      </c>
      <c r="I13" s="35">
        <f>IFERROR((HistoricalFS!I18-HistoricalFS!I24)/HistoricalFS!I6,0)</f>
        <v>0.13701287366053996</v>
      </c>
      <c r="J13" s="35">
        <f>IFERROR((HistoricalFS!J18-HistoricalFS!J24)/HistoricalFS!J6,0)</f>
        <v>0.15662629292760291</v>
      </c>
      <c r="K13" s="35">
        <f>IFERROR((HistoricalFS!K18-HistoricalFS!K24)/HistoricalFS!K6,0)</f>
        <v>0.18966139480424279</v>
      </c>
      <c r="L13" s="35">
        <f>IFERROR((HistoricalFS!L18-HistoricalFS!L24)/HistoricalFS!L6,0)</f>
        <v>0.14687447095791203</v>
      </c>
      <c r="N13" s="35">
        <f t="shared" si="2"/>
        <v>0.16649381825384904</v>
      </c>
      <c r="O13" s="35">
        <f t="shared" si="1"/>
        <v>0.1680314368837855</v>
      </c>
    </row>
    <row r="14" spans="2:15" x14ac:dyDescent="0.3">
      <c r="B14" t="s">
        <v>128</v>
      </c>
      <c r="C14" s="35">
        <f>IFERROR(HistoricalFS!C28,0)</f>
        <v>0.16819967641780931</v>
      </c>
      <c r="D14" s="35">
        <f>IFERROR(HistoricalFS!D28,0)</f>
        <v>0.17405668175320793</v>
      </c>
      <c r="E14" s="35">
        <f>IFERROR(HistoricalFS!E28,0)</f>
        <v>0.16654650495852794</v>
      </c>
      <c r="F14" s="35">
        <f>IFERROR(HistoricalFS!F28,0)</f>
        <v>0.15760444446061442</v>
      </c>
      <c r="G14" s="35">
        <f>IFERROR(HistoricalFS!G28,0)</f>
        <v>0.16198849650565889</v>
      </c>
      <c r="H14" s="35">
        <f>IFERROR(HistoricalFS!H28,0)</f>
        <v>0.18296589245325004</v>
      </c>
      <c r="I14" s="35">
        <f>IFERROR(HistoricalFS!I28,0)</f>
        <v>0.13373432371359606</v>
      </c>
      <c r="J14" s="35">
        <f>IFERROR(HistoricalFS!J28,0)</f>
        <v>0.15243795121806938</v>
      </c>
      <c r="K14" s="35">
        <f>IFERROR(HistoricalFS!K28,0)</f>
        <v>0.18388110009570438</v>
      </c>
      <c r="L14" s="35">
        <f>IFERROR(HistoricalFS!L28,0)</f>
        <v>0.14017882581117827</v>
      </c>
      <c r="N14" s="35">
        <f t="shared" si="2"/>
        <v>0.16215938973876165</v>
      </c>
      <c r="O14" s="35">
        <f t="shared" si="1"/>
        <v>0.1642675007320934</v>
      </c>
    </row>
    <row r="15" spans="2:15" x14ac:dyDescent="0.3">
      <c r="B15" s="36" t="s">
        <v>129</v>
      </c>
      <c r="C15" s="37">
        <f>IFERROR(HistoricalFS!C34,0)</f>
        <v>0.10902645764387611</v>
      </c>
      <c r="D15" s="37">
        <f>IFERROR(HistoricalFS!D34,0)</f>
        <v>0.1114294990237014</v>
      </c>
      <c r="E15" s="37">
        <f>IFERROR(HistoricalFS!E34,0)</f>
        <v>0.10467501359620324</v>
      </c>
      <c r="F15" s="37">
        <f>IFERROR(HistoricalFS!F34,0)</f>
        <v>0.1005331045060507</v>
      </c>
      <c r="G15" s="37">
        <f>IFERROR(HistoricalFS!G34,0)</f>
        <v>0.1196927453769558</v>
      </c>
      <c r="H15" s="37">
        <f>IFERROR(HistoricalFS!H34,0)</f>
        <v>0.13241504200980173</v>
      </c>
      <c r="I15" s="37">
        <f>IFERROR(HistoricalFS!I34,0)</f>
        <v>9.5835303464314917E-2</v>
      </c>
      <c r="J15" s="37">
        <f>IFERROR(HistoricalFS!J34,0)</f>
        <v>0.10913377438741322</v>
      </c>
      <c r="K15" s="37">
        <f>IFERROR(HistoricalFS!K34,0)</f>
        <v>0.13344882465650537</v>
      </c>
      <c r="L15" s="37">
        <f>IFERROR(HistoricalFS!L34,0)</f>
        <v>9.9083573755619339E-2</v>
      </c>
      <c r="N15" s="37">
        <f t="shared" si="2"/>
        <v>0.11152733384204416</v>
      </c>
      <c r="O15" s="37">
        <f t="shared" si="1"/>
        <v>0.10908011601564466</v>
      </c>
    </row>
    <row r="17" spans="2:15" x14ac:dyDescent="0.3">
      <c r="B17" s="33" t="s">
        <v>130</v>
      </c>
      <c r="C17" s="34">
        <f>IFERROR(HistoricalFS!C16,0)</f>
        <v>0.14943148893353111</v>
      </c>
      <c r="D17" s="34">
        <f>IFERROR(HistoricalFS!D16,0)</f>
        <v>0.15506383950593511</v>
      </c>
      <c r="E17" s="34">
        <f>IFERROR(HistoricalFS!E16,0)</f>
        <v>0.14421604143944414</v>
      </c>
      <c r="F17" s="34">
        <f>IFERROR(HistoricalFS!F16,0)</f>
        <v>0.13354275672773522</v>
      </c>
      <c r="G17" s="34">
        <f>IFERROR(HistoricalFS!G16,0)</f>
        <v>0.14330682169583772</v>
      </c>
      <c r="H17" s="34">
        <f>IFERROR(HistoricalFS!H16,0)</f>
        <v>0.12997500551518251</v>
      </c>
      <c r="I17" s="34">
        <f>IFERROR(HistoricalFS!I16,0)</f>
        <v>0.1273861493377611</v>
      </c>
      <c r="J17" s="34">
        <f>IFERROR(HistoricalFS!J16,0)</f>
        <v>0.12937757095897515</v>
      </c>
      <c r="K17" s="34">
        <f>IFERROR(HistoricalFS!K16,0)</f>
        <v>0.1380419008681007</v>
      </c>
      <c r="L17" s="34">
        <f>IFERROR(HistoricalFS!L16,0)</f>
        <v>0.15213230137068723</v>
      </c>
      <c r="N17" s="34">
        <f t="shared" si="2"/>
        <v>0.14024738763531899</v>
      </c>
      <c r="O17" s="34">
        <f t="shared" si="1"/>
        <v>0.1406743612819692</v>
      </c>
    </row>
    <row r="18" spans="2:15" x14ac:dyDescent="0.3">
      <c r="B18" t="s">
        <v>131</v>
      </c>
      <c r="C18" s="35">
        <f>IFERROR(HistoricalFS!C25,0)</f>
        <v>1.9309826794539322E-2</v>
      </c>
      <c r="D18" s="35">
        <f>IFERROR(HistoricalFS!D25,0)</f>
        <v>2.2227474590011016E-2</v>
      </c>
      <c r="E18" s="35">
        <f>IFERROR(HistoricalFS!E25,0)</f>
        <v>2.1425238713665449E-2</v>
      </c>
      <c r="F18" s="35">
        <f>IFERROR(HistoricalFS!F25,0)</f>
        <v>3.2335540352378074E-2</v>
      </c>
      <c r="G18" s="35">
        <f>IFERROR(HistoricalFS!G25,0)</f>
        <v>3.8617106809326486E-2</v>
      </c>
      <c r="H18" s="35">
        <f>IFERROR(HistoricalFS!H25,0)</f>
        <v>3.6442576011650275E-2</v>
      </c>
      <c r="I18" s="35">
        <f>IFERROR(HistoricalFS!I25,0)</f>
        <v>2.8052374328551871E-2</v>
      </c>
      <c r="J18" s="35">
        <f>IFERROR(HistoricalFS!J25,0)</f>
        <v>2.4878372818372688E-2</v>
      </c>
      <c r="K18" s="35">
        <f>IFERROR(HistoricalFS!K25,0)</f>
        <v>2.4031736542297968E-2</v>
      </c>
      <c r="L18" s="35">
        <f>IFERROR(HistoricalFS!L25,0)</f>
        <v>3.0270497929251843E-2</v>
      </c>
      <c r="N18" s="35">
        <f t="shared" si="2"/>
        <v>2.7759074489004498E-2</v>
      </c>
      <c r="O18" s="35">
        <f t="shared" si="1"/>
        <v>2.6465373573462278E-2</v>
      </c>
    </row>
    <row r="19" spans="2:15" x14ac:dyDescent="0.3">
      <c r="B19" s="36" t="s">
        <v>132</v>
      </c>
      <c r="C19" s="38">
        <f>C13</f>
        <v>0.17163309507276406</v>
      </c>
      <c r="D19" s="38">
        <f t="shared" ref="D19:L19" si="3">D13</f>
        <v>0.17653510591893901</v>
      </c>
      <c r="E19" s="38">
        <f t="shared" si="3"/>
        <v>0.16901135543001156</v>
      </c>
      <c r="F19" s="38">
        <f t="shared" si="3"/>
        <v>0.16334608965739844</v>
      </c>
      <c r="G19" s="38">
        <f t="shared" si="3"/>
        <v>0.16705151833755943</v>
      </c>
      <c r="H19" s="38">
        <f t="shared" si="3"/>
        <v>0.18718598577152007</v>
      </c>
      <c r="I19" s="38">
        <f t="shared" si="3"/>
        <v>0.13701287366053996</v>
      </c>
      <c r="J19" s="38">
        <f t="shared" si="3"/>
        <v>0.15662629292760291</v>
      </c>
      <c r="K19" s="38">
        <f t="shared" si="3"/>
        <v>0.18966139480424279</v>
      </c>
      <c r="L19" s="38">
        <f t="shared" si="3"/>
        <v>0.14687447095791203</v>
      </c>
      <c r="N19" s="35">
        <f t="shared" si="2"/>
        <v>0.16649381825384904</v>
      </c>
      <c r="O19" s="35">
        <f t="shared" si="1"/>
        <v>0.1680314368837855</v>
      </c>
    </row>
    <row r="21" spans="2:15" x14ac:dyDescent="0.3">
      <c r="B21" s="33" t="s">
        <v>133</v>
      </c>
      <c r="C21" s="34">
        <f>IFERROR((HistoricalFS!C18-HistoricalFS!C24)/SUM(HistoricalFS!C47:C49),0)</f>
        <v>0.35768409093896003</v>
      </c>
      <c r="D21" s="34">
        <f>IFERROR((HistoricalFS!D18-HistoricalFS!D24)/SUM(HistoricalFS!D47:D49),0)</f>
        <v>0.32568533713528403</v>
      </c>
      <c r="E21" s="34">
        <f>IFERROR((HistoricalFS!E18-HistoricalFS!E24)/SUM(HistoricalFS!E47:E49),0)</f>
        <v>0.31793918820706524</v>
      </c>
      <c r="F21" s="34">
        <f>IFERROR((HistoricalFS!F18-HistoricalFS!F24)/SUM(HistoricalFS!F47:F49),0)</f>
        <v>0.29126564505590763</v>
      </c>
      <c r="G21" s="34">
        <f>IFERROR((HistoricalFS!G18-HistoricalFS!G24)/SUM(HistoricalFS!G47:G49),0)</f>
        <v>0.30015308490077913</v>
      </c>
      <c r="H21" s="34">
        <f>IFERROR((HistoricalFS!H18-HistoricalFS!H24)/SUM(HistoricalFS!H47:H49),0)</f>
        <v>0.29241025338485616</v>
      </c>
      <c r="I21" s="34">
        <f>IFERROR((HistoricalFS!I18-HistoricalFS!I24)/SUM(HistoricalFS!I47:I49),0)</f>
        <v>0.2589385678029722</v>
      </c>
      <c r="J21" s="34">
        <f>IFERROR((HistoricalFS!J18-HistoricalFS!J24)/SUM(HistoricalFS!J47:J49),0)</f>
        <v>0.30135928613070662</v>
      </c>
      <c r="K21" s="34">
        <f>IFERROR((HistoricalFS!K18-HistoricalFS!K24)/SUM(HistoricalFS!K47:K49),0)</f>
        <v>0.31750608885291864</v>
      </c>
      <c r="L21" s="34">
        <f>IFERROR((HistoricalFS!L18-HistoricalFS!L24)/SUM(HistoricalFS!L47:L49),0)</f>
        <v>0.22959184143918202</v>
      </c>
      <c r="N21" s="34">
        <f t="shared" si="2"/>
        <v>0.29925333838486323</v>
      </c>
      <c r="O21" s="34">
        <f t="shared" si="1"/>
        <v>0.3007561855157429</v>
      </c>
    </row>
    <row r="22" spans="2:15" x14ac:dyDescent="0.3">
      <c r="B22" t="s">
        <v>134</v>
      </c>
      <c r="C22" s="35">
        <f>IFERROR(HistoricalFS!C44,0)</f>
        <v>0.53765175421119982</v>
      </c>
      <c r="D22" s="35">
        <f>IFERROR(HistoricalFS!D44,0)</f>
        <v>0.4113385169958591</v>
      </c>
      <c r="E22" s="35">
        <f>IFERROR(HistoricalFS!E44,0)</f>
        <v>0.52615112060007641</v>
      </c>
      <c r="F22" s="35">
        <f>IFERROR(HistoricalFS!F44,0)</f>
        <v>0.47930743898214867</v>
      </c>
      <c r="G22" s="35">
        <f>IFERROR(HistoricalFS!G44,0)</f>
        <v>0.5241945484759043</v>
      </c>
      <c r="H22" s="35">
        <f>IFERROR(HistoricalFS!H44,0)</f>
        <v>0.40448332231922424</v>
      </c>
      <c r="I22" s="35">
        <f>IFERROR(HistoricalFS!I44,0)</f>
        <v>0.34137106345444268</v>
      </c>
      <c r="J22" s="35">
        <f>IFERROR(HistoricalFS!J44,0)</f>
        <v>0.34632439483829069</v>
      </c>
      <c r="K22" s="35">
        <f>IFERROR(HistoricalFS!K44,0)</f>
        <v>0.32566559630800174</v>
      </c>
      <c r="L22" s="35">
        <f>IFERROR(HistoricalFS!L44,0)</f>
        <v>0.29191037925399443</v>
      </c>
      <c r="N22" s="35">
        <f t="shared" si="2"/>
        <v>0.4188398135439142</v>
      </c>
      <c r="O22" s="35">
        <f t="shared" si="1"/>
        <v>0.40791091965754167</v>
      </c>
    </row>
    <row r="23" spans="2:15" x14ac:dyDescent="0.3">
      <c r="B23" t="s">
        <v>135</v>
      </c>
      <c r="C23" s="35">
        <f>IFERROR(HistoricalFS!C33/SUM(HistoricalFS!C47:C48),0)</f>
        <v>0.23846941371562763</v>
      </c>
      <c r="D23" s="35">
        <f>IFERROR(HistoricalFS!D33/SUM(HistoricalFS!D47:D48),0)</f>
        <v>0.22072255122049375</v>
      </c>
      <c r="E23" s="35">
        <f>IFERROR(HistoricalFS!E33/SUM(HistoricalFS!E47:E48),0)</f>
        <v>0.20940093196024379</v>
      </c>
      <c r="F23" s="35">
        <f>IFERROR(HistoricalFS!F33/SUM(HistoricalFS!F47:F48),0)</f>
        <v>0.20424051401449772</v>
      </c>
      <c r="G23" s="35">
        <f>IFERROR(HistoricalFS!G33/SUM(HistoricalFS!G47:G48),0)</f>
        <v>0.23880570494444295</v>
      </c>
      <c r="H23" s="35">
        <f>IFERROR(HistoricalFS!H33/SUM(HistoricalFS!H47:H48),0)</f>
        <v>0.22450686342414569</v>
      </c>
      <c r="I23" s="35">
        <f>IFERROR(HistoricalFS!I33/SUM(HistoricalFS!I47:I48),0)</f>
        <v>0.20192722617865025</v>
      </c>
      <c r="J23" s="35">
        <f>IFERROR(HistoricalFS!J33/SUM(HistoricalFS!J47:J48),0)</f>
        <v>0.23535616983997826</v>
      </c>
      <c r="K23" s="35">
        <f>IFERROR(HistoricalFS!K33/SUM(HistoricalFS!K47:K48),0)</f>
        <v>0.25291831079168969</v>
      </c>
      <c r="L23" s="35">
        <f>IFERROR(HistoricalFS!L33/SUM(HistoricalFS!L47:L48),0)</f>
        <v>0.17317128363628317</v>
      </c>
      <c r="N23" s="35">
        <f t="shared" si="2"/>
        <v>0.21995189697260525</v>
      </c>
      <c r="O23" s="35">
        <f t="shared" si="1"/>
        <v>0.22261470732231972</v>
      </c>
    </row>
    <row r="24" spans="2:15" x14ac:dyDescent="0.3">
      <c r="B24" t="s">
        <v>136</v>
      </c>
      <c r="C24" s="35">
        <f>IFERROR(C22*C23,0)</f>
        <v>0.12821349860992354</v>
      </c>
      <c r="D24" s="35">
        <f t="shared" ref="D24:L24" si="4">IFERROR(D22*D23,0)</f>
        <v>9.0791686886580444E-2</v>
      </c>
      <c r="E24" s="35">
        <f t="shared" si="4"/>
        <v>0.11017653500558262</v>
      </c>
      <c r="F24" s="35">
        <f t="shared" si="4"/>
        <v>9.789399770868655E-2</v>
      </c>
      <c r="G24" s="35">
        <f t="shared" si="4"/>
        <v>0.1251806486768223</v>
      </c>
      <c r="H24" s="35">
        <f t="shared" si="4"/>
        <v>9.0809282001266783E-2</v>
      </c>
      <c r="I24" s="35">
        <f t="shared" si="4"/>
        <v>6.893211194101162E-2</v>
      </c>
      <c r="J24" s="35">
        <f t="shared" si="4"/>
        <v>8.1509583091288432E-2</v>
      </c>
      <c r="K24" s="35">
        <f t="shared" si="4"/>
        <v>8.2366792501188141E-2</v>
      </c>
      <c r="L24" s="35">
        <f t="shared" si="4"/>
        <v>5.055049508216846E-2</v>
      </c>
      <c r="N24" s="35">
        <f t="shared" si="2"/>
        <v>9.2642463150451909E-2</v>
      </c>
      <c r="O24" s="35">
        <f t="shared" si="1"/>
        <v>9.0800484443923607E-2</v>
      </c>
    </row>
    <row r="25" spans="2:15" x14ac:dyDescent="0.3">
      <c r="B25" s="36" t="s">
        <v>137</v>
      </c>
      <c r="C25" s="39">
        <f>IFERROR((HistoricalFS!C18-HistoricalFS!C24)/HistoricalFS!C21,0)</f>
        <v>49.988979591836767</v>
      </c>
      <c r="D25" s="39">
        <f>IFERROR((HistoricalFS!D18-HistoricalFS!D24)/HistoricalFS!D21,0)</f>
        <v>71.228770425930904</v>
      </c>
      <c r="E25" s="39">
        <f>IFERROR((HistoricalFS!E18-HistoricalFS!E24)/HistoricalFS!E21,0)</f>
        <v>68.568603809983145</v>
      </c>
      <c r="F25" s="39">
        <f>IFERROR((HistoricalFS!F18-HistoricalFS!F24)/HistoricalFS!F21,0)</f>
        <v>28.449352765456698</v>
      </c>
      <c r="G25" s="39">
        <f>IFERROR((HistoricalFS!G18-HistoricalFS!G24)/HistoricalFS!G21,0)</f>
        <v>32.994429785986497</v>
      </c>
      <c r="H25" s="39">
        <f>IFERROR((HistoricalFS!H18-HistoricalFS!H24)/HistoricalFS!H21,0)</f>
        <v>44.355887809669362</v>
      </c>
      <c r="I25" s="39">
        <f>IFERROR((HistoricalFS!I18-HistoricalFS!I24)/HistoricalFS!I21,0)</f>
        <v>41.790692799496895</v>
      </c>
      <c r="J25" s="39">
        <f>IFERROR((HistoricalFS!J18-HistoricalFS!J24)/HistoricalFS!J21,0)</f>
        <v>37.39577708549669</v>
      </c>
      <c r="K25" s="39">
        <f>IFERROR((HistoricalFS!K18-HistoricalFS!K24)/HistoricalFS!K21,0)</f>
        <v>32.811717112638306</v>
      </c>
      <c r="L25" s="39">
        <f>IFERROR((HistoricalFS!L18-HistoricalFS!L24)/HistoricalFS!L21,0)</f>
        <v>21.935820632543393</v>
      </c>
      <c r="N25" s="39">
        <f t="shared" si="2"/>
        <v>42.952003181903862</v>
      </c>
      <c r="O25" s="39">
        <f>IFERROR(MEDIAN(C25:L25),0)</f>
        <v>39.593234942496792</v>
      </c>
    </row>
    <row r="27" spans="2:15" x14ac:dyDescent="0.3">
      <c r="B27" s="33" t="s">
        <v>138</v>
      </c>
      <c r="C27" s="40">
        <f>IFERROR(HistoricalFS!C6/HistoricalFS!C59,0)</f>
        <v>12.024780088301709</v>
      </c>
      <c r="D27" s="40">
        <f>IFERROR(HistoricalFS!D6/HistoricalFS!D59,0)</f>
        <v>10.41199364025992</v>
      </c>
      <c r="E27" s="40">
        <f>IFERROR(HistoricalFS!E6/HistoricalFS!E59,0)</f>
        <v>9.7216331624899599</v>
      </c>
      <c r="F27" s="40">
        <f>IFERROR(HistoricalFS!F6/HistoricalFS!F59,0)</f>
        <v>10.08746782150965</v>
      </c>
      <c r="G27" s="40">
        <f>IFERROR(HistoricalFS!G6/HistoricalFS!G59,0)</f>
        <v>11.258369447755706</v>
      </c>
      <c r="H27" s="40">
        <f>IFERROR(HistoricalFS!H6/HistoricalFS!H59,0)</f>
        <v>8.3441089552181449</v>
      </c>
      <c r="I27" s="40">
        <f>IFERROR(HistoricalFS!I6/HistoricalFS!I59,0)</f>
        <v>7.5169136032070751</v>
      </c>
      <c r="J27" s="40">
        <f>IFERROR(HistoricalFS!J6/HistoricalFS!J59,0)</f>
        <v>7.4377908707035241</v>
      </c>
      <c r="K27" s="40">
        <f>IFERROR(HistoricalFS!K6/HistoricalFS!K59,0)</f>
        <v>7.2600464302880932</v>
      </c>
      <c r="L27" s="40">
        <f>IFERROR(HistoricalFS!L6/HistoricalFS!L59,0)</f>
        <v>7.8600767331610131</v>
      </c>
      <c r="N27" s="40">
        <f t="shared" si="2"/>
        <v>9.1923180752894798</v>
      </c>
      <c r="O27" s="40">
        <f>IFERROR(MEDIAN(C27:L27),0)</f>
        <v>9.0328710588540524</v>
      </c>
    </row>
    <row r="28" spans="2:15" x14ac:dyDescent="0.3">
      <c r="B28" t="s">
        <v>139</v>
      </c>
      <c r="C28" s="32">
        <f>IFERROR(HistoricalFS!C6/HistoricalFS!C50,0)</f>
        <v>3.8458091254998759</v>
      </c>
      <c r="D28" s="32">
        <f>IFERROR(HistoricalFS!D6/HistoricalFS!D50,0)</f>
        <v>3.5515520070927336</v>
      </c>
      <c r="E28" s="32">
        <f>IFERROR(HistoricalFS!E6/HistoricalFS!E50,0)</f>
        <v>3.4907008975438916</v>
      </c>
      <c r="F28" s="32">
        <f>IFERROR(HistoricalFS!F6/HistoricalFS!F50,0)</f>
        <v>3.5246789980746303</v>
      </c>
      <c r="G28" s="32">
        <f>IFERROR(HistoricalFS!G6/HistoricalFS!G50,0)</f>
        <v>4.1337632508472559</v>
      </c>
      <c r="H28" s="32">
        <f>IFERROR(HistoricalFS!H6/HistoricalFS!H50,0)</f>
        <v>3.3632319433451108</v>
      </c>
      <c r="I28" s="32">
        <f>IFERROR(HistoricalFS!I6/HistoricalFS!I50,0)</f>
        <v>3.8493807531491444</v>
      </c>
      <c r="J28" s="32">
        <f>IFERROR(HistoricalFS!J6/HistoricalFS!J50,0)</f>
        <v>4.3909450402827428</v>
      </c>
      <c r="K28" s="32">
        <f>IFERROR(HistoricalFS!K6/HistoricalFS!K50,0)</f>
        <v>4.0807499117622381</v>
      </c>
      <c r="L28" s="32">
        <f>IFERROR(HistoricalFS!L6/HistoricalFS!L50,0)</f>
        <v>3.9128716756201571</v>
      </c>
      <c r="N28" s="40">
        <f t="shared" si="2"/>
        <v>3.8143683603217786</v>
      </c>
      <c r="O28" s="40">
        <f t="shared" ref="O28:O31" si="5">IFERROR(MEDIAN(C28:L28),0)</f>
        <v>3.8475949393245101</v>
      </c>
    </row>
    <row r="29" spans="2:15" x14ac:dyDescent="0.3">
      <c r="B29" t="s">
        <v>140</v>
      </c>
      <c r="C29" s="32">
        <f>IFERROR(HistoricalFS!C6/HistoricalFS!C60,0)</f>
        <v>7.142029986388021</v>
      </c>
      <c r="D29" s="32">
        <f>IFERROR(HistoricalFS!D6/HistoricalFS!D60,0)</f>
        <v>5.7336635020213631</v>
      </c>
      <c r="E29" s="32">
        <f>IFERROR(HistoricalFS!E6/HistoricalFS!E60,0)</f>
        <v>6.3290398787199385</v>
      </c>
      <c r="F29" s="32">
        <f>IFERROR(HistoricalFS!F6/HistoricalFS!F60,0)</f>
        <v>6.1082492555224679</v>
      </c>
      <c r="G29" s="32">
        <f>IFERROR(HistoricalFS!G6/HistoricalFS!G60,0)</f>
        <v>5.9623548222466747</v>
      </c>
      <c r="H29" s="32">
        <f>IFERROR(HistoricalFS!H6/HistoricalFS!H60,0)</f>
        <v>5.7159979992628864</v>
      </c>
      <c r="I29" s="32">
        <f>IFERROR(HistoricalFS!I6/HistoricalFS!I60,0)</f>
        <v>4.7296236945350056</v>
      </c>
      <c r="J29" s="32">
        <f>IFERROR(HistoricalFS!J6/HistoricalFS!J60,0)</f>
        <v>5.5531458915667296</v>
      </c>
      <c r="K29" s="32">
        <f>IFERROR(HistoricalFS!K6/HistoricalFS!K60,0)</f>
        <v>5.9922797847861293</v>
      </c>
      <c r="L29" s="32">
        <f>IFERROR(HistoricalFS!L6/HistoricalFS!L60,0)</f>
        <v>5.0460273214203326</v>
      </c>
      <c r="N29" s="40">
        <f t="shared" si="2"/>
        <v>5.8312412136469547</v>
      </c>
      <c r="O29" s="40">
        <f t="shared" si="5"/>
        <v>5.8480091621340193</v>
      </c>
    </row>
    <row r="30" spans="2:15" x14ac:dyDescent="0.3">
      <c r="B30" t="s">
        <v>141</v>
      </c>
      <c r="C30" s="32">
        <f>IFERROR(HistoricalFS!C6/HistoricalFS!C53,0)</f>
        <v>4.1774086378737545</v>
      </c>
      <c r="D30" s="32">
        <f>IFERROR(HistoricalFS!D6/HistoricalFS!D53,0)</f>
        <v>4.5590724451682032</v>
      </c>
      <c r="E30" s="32">
        <f>IFERROR(HistoricalFS!E6/HistoricalFS!E53,0)</f>
        <v>4.50789606241828</v>
      </c>
      <c r="F30" s="32">
        <f>IFERROR(HistoricalFS!F6/HistoricalFS!F53,0)</f>
        <v>2.9615873631583485</v>
      </c>
      <c r="G30" s="32">
        <f>IFERROR(HistoricalFS!G6/HistoricalFS!G53,0)</f>
        <v>3.2222976861794139</v>
      </c>
      <c r="H30" s="32">
        <f>IFERROR(HistoricalFS!H6/HistoricalFS!H53,0)</f>
        <v>3.7061903006220001</v>
      </c>
      <c r="I30" s="32">
        <f>IFERROR(HistoricalFS!I6/HistoricalFS!I53,0)</f>
        <v>5.2728689305787571</v>
      </c>
      <c r="J30" s="32">
        <f>IFERROR(HistoricalFS!J6/HistoricalFS!J53,0)</f>
        <v>5.9767488207179316</v>
      </c>
      <c r="K30" s="32">
        <f>IFERROR(HistoricalFS!K6/HistoricalFS!K53,0)</f>
        <v>4.9666457710078333</v>
      </c>
      <c r="L30" s="32">
        <f>IFERROR(HistoricalFS!L6/HistoricalFS!L53,0)</f>
        <v>3.6773592477305019</v>
      </c>
      <c r="N30" s="40">
        <f t="shared" si="2"/>
        <v>4.3028075265455019</v>
      </c>
      <c r="O30" s="40">
        <f t="shared" si="5"/>
        <v>4.3426523501460172</v>
      </c>
    </row>
    <row r="31" spans="2:15" x14ac:dyDescent="0.3">
      <c r="B31" s="36" t="s">
        <v>142</v>
      </c>
      <c r="C31" s="39">
        <f>IFERROR(HistoricalFS!C6/SUM(HistoricalFS!C47:C48),0)</f>
        <v>2.1872618708255556</v>
      </c>
      <c r="D31" s="39">
        <f>IFERROR(HistoricalFS!D6/SUM(HistoricalFS!D47:D48),0)</f>
        <v>1.9808269188533763</v>
      </c>
      <c r="E31" s="39">
        <f>IFERROR(HistoricalFS!E6/SUM(HistoricalFS!E47:E48),0)</f>
        <v>2.0004863125027494</v>
      </c>
      <c r="F31" s="39">
        <f>IFERROR(HistoricalFS!F6/SUM(HistoricalFS!F47:F48),0)</f>
        <v>2.0315747237488848</v>
      </c>
      <c r="G31" s="39">
        <f>IFERROR(HistoricalFS!G6/SUM(HistoricalFS!G47:G48),0)</f>
        <v>1.995156048867935</v>
      </c>
      <c r="H31" s="39">
        <f>IFERROR(HistoricalFS!H6/SUM(HistoricalFS!H47:H48),0)</f>
        <v>1.6954785499937921</v>
      </c>
      <c r="I31" s="39">
        <f>IFERROR(HistoricalFS!I6/SUM(HistoricalFS!I47:I48),0)</f>
        <v>2.1070233919991659</v>
      </c>
      <c r="J31" s="39">
        <f>IFERROR(HistoricalFS!J6/SUM(HistoricalFS!J47:J48),0)</f>
        <v>2.1565841661857039</v>
      </c>
      <c r="K31" s="39">
        <f>IFERROR(HistoricalFS!K6/SUM(HistoricalFS!K47:K48),0)</f>
        <v>1.8952456976874572</v>
      </c>
      <c r="L31" s="39">
        <f>IFERROR(HistoricalFS!L6/SUM(HistoricalFS!L47:L48),0)</f>
        <v>1.7477294880723062</v>
      </c>
      <c r="N31" s="40">
        <f t="shared" si="2"/>
        <v>1.9797367168736926</v>
      </c>
      <c r="O31" s="40">
        <f t="shared" si="5"/>
        <v>1.9978211806853423</v>
      </c>
    </row>
    <row r="32" spans="2:15" x14ac:dyDescent="0.3"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spans="2:15" x14ac:dyDescent="0.3">
      <c r="B33" s="41" t="s">
        <v>150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</row>
    <row r="34" spans="2:15" x14ac:dyDescent="0.3">
      <c r="B34" t="s">
        <v>143</v>
      </c>
      <c r="C34" s="42">
        <f>IFERROR(365/C27,0)</f>
        <v>30.353985463325834</v>
      </c>
      <c r="D34" s="42">
        <f t="shared" ref="D34:L34" si="6">IFERROR(365/D27,0)</f>
        <v>35.055726368162503</v>
      </c>
      <c r="E34" s="42">
        <f t="shared" si="6"/>
        <v>37.545131964896534</v>
      </c>
      <c r="F34" s="42">
        <f t="shared" si="6"/>
        <v>36.183510714324697</v>
      </c>
      <c r="G34" s="42">
        <f t="shared" si="6"/>
        <v>32.420325313872226</v>
      </c>
      <c r="H34" s="42">
        <f t="shared" si="6"/>
        <v>43.743436472235949</v>
      </c>
      <c r="I34" s="42">
        <f t="shared" si="6"/>
        <v>48.557163121347244</v>
      </c>
      <c r="J34" s="42">
        <f t="shared" si="6"/>
        <v>49.073711044725229</v>
      </c>
      <c r="K34" s="42">
        <f t="shared" si="6"/>
        <v>50.275160566089667</v>
      </c>
      <c r="L34" s="42">
        <f t="shared" si="6"/>
        <v>46.437205690384069</v>
      </c>
      <c r="N34" s="44">
        <f t="shared" si="2"/>
        <v>40.964535671936389</v>
      </c>
      <c r="O34" s="44">
        <f t="shared" ref="O34:O41" si="7">IFERROR(MEDIAN(C34:L34),0)</f>
        <v>40.644284218566241</v>
      </c>
    </row>
    <row r="35" spans="2:15" x14ac:dyDescent="0.3">
      <c r="B35" t="s">
        <v>144</v>
      </c>
      <c r="C35" s="42">
        <f>IFERROR(365/C28,0)</f>
        <v>94.908506399822301</v>
      </c>
      <c r="D35" s="42">
        <f t="shared" ref="D35:L35" si="8">IFERROR(365/D28,0)</f>
        <v>102.77197103437196</v>
      </c>
      <c r="E35" s="42">
        <f t="shared" si="8"/>
        <v>104.56352770207822</v>
      </c>
      <c r="F35" s="42">
        <f t="shared" si="8"/>
        <v>103.55552951045547</v>
      </c>
      <c r="G35" s="42">
        <f t="shared" si="8"/>
        <v>88.297267610860303</v>
      </c>
      <c r="H35" s="42">
        <f t="shared" si="8"/>
        <v>108.52656199410578</v>
      </c>
      <c r="I35" s="42">
        <f t="shared" si="8"/>
        <v>94.820446042235943</v>
      </c>
      <c r="J35" s="42">
        <f t="shared" si="8"/>
        <v>83.125613427513272</v>
      </c>
      <c r="K35" s="42">
        <f t="shared" si="8"/>
        <v>89.444344273079395</v>
      </c>
      <c r="L35" s="42">
        <f t="shared" si="8"/>
        <v>93.281873329554202</v>
      </c>
      <c r="N35" s="42">
        <f t="shared" si="2"/>
        <v>96.329564132407683</v>
      </c>
      <c r="O35" s="42">
        <f t="shared" si="7"/>
        <v>94.864476221029122</v>
      </c>
    </row>
    <row r="36" spans="2:15" x14ac:dyDescent="0.3">
      <c r="B36" t="s">
        <v>145</v>
      </c>
      <c r="C36" s="42">
        <f>IFERROR(365/C29,0)</f>
        <v>51.105918162714616</v>
      </c>
      <c r="D36" s="42">
        <f t="shared" ref="D36:L36" si="9">IFERROR(365/D29,0)</f>
        <v>63.659124723891068</v>
      </c>
      <c r="E36" s="42">
        <f t="shared" si="9"/>
        <v>57.670674698580349</v>
      </c>
      <c r="F36" s="42">
        <f t="shared" si="9"/>
        <v>59.755256331428114</v>
      </c>
      <c r="G36" s="42">
        <f t="shared" si="9"/>
        <v>61.217423464654587</v>
      </c>
      <c r="H36" s="42">
        <f t="shared" si="9"/>
        <v>63.855865598110604</v>
      </c>
      <c r="I36" s="42">
        <f t="shared" si="9"/>
        <v>77.173158706421162</v>
      </c>
      <c r="J36" s="42">
        <f t="shared" si="9"/>
        <v>65.728509051834251</v>
      </c>
      <c r="K36" s="42">
        <f t="shared" si="9"/>
        <v>60.911708583217838</v>
      </c>
      <c r="L36" s="42">
        <f t="shared" si="9"/>
        <v>72.334130742926988</v>
      </c>
      <c r="N36" s="42">
        <f t="shared" si="2"/>
        <v>63.341177006377947</v>
      </c>
      <c r="O36" s="42">
        <f t="shared" si="7"/>
        <v>62.438274094272828</v>
      </c>
    </row>
    <row r="37" spans="2:15" x14ac:dyDescent="0.3">
      <c r="B37" s="36" t="s">
        <v>146</v>
      </c>
      <c r="C37" s="43">
        <f>IFERROR(SUM(C34,C36)-C35,0)</f>
        <v>-13.448602773781857</v>
      </c>
      <c r="D37" s="43">
        <f t="shared" ref="D37:L37" si="10">IFERROR(SUM(D34,D36)-D35,0)</f>
        <v>-4.0571199423183799</v>
      </c>
      <c r="E37" s="43">
        <f t="shared" si="10"/>
        <v>-9.3477210386013354</v>
      </c>
      <c r="F37" s="43">
        <f t="shared" si="10"/>
        <v>-7.6167624647026599</v>
      </c>
      <c r="G37" s="43">
        <f t="shared" si="10"/>
        <v>5.3404811676665105</v>
      </c>
      <c r="H37" s="43">
        <f t="shared" si="10"/>
        <v>-0.92725992375922317</v>
      </c>
      <c r="I37" s="43">
        <f t="shared" si="10"/>
        <v>30.909875785532464</v>
      </c>
      <c r="J37" s="43">
        <f t="shared" si="10"/>
        <v>31.676606669046208</v>
      </c>
      <c r="K37" s="43">
        <f t="shared" si="10"/>
        <v>21.742524876228117</v>
      </c>
      <c r="L37" s="43">
        <f t="shared" si="10"/>
        <v>25.489463103756862</v>
      </c>
      <c r="N37" s="43">
        <f t="shared" si="2"/>
        <v>7.9761485459066703</v>
      </c>
      <c r="O37" s="43">
        <f t="shared" si="7"/>
        <v>2.2066106219536437</v>
      </c>
    </row>
    <row r="38" spans="2:15" x14ac:dyDescent="0.3">
      <c r="N38" s="37"/>
      <c r="O38" s="37"/>
    </row>
    <row r="39" spans="2:15" x14ac:dyDescent="0.3">
      <c r="B39" s="33" t="s">
        <v>147</v>
      </c>
      <c r="C39" s="34">
        <f>IFERROR(HistoricalFS!C78/HistoricalFS!C6,0)</f>
        <v>2.7475757611854124</v>
      </c>
      <c r="D39" s="34">
        <f>IFERROR(HistoricalFS!D78/HistoricalFS!D6,0)</f>
        <v>2.2210876517644746</v>
      </c>
      <c r="E39" s="34">
        <f>IFERROR(HistoricalFS!E78/HistoricalFS!E6,0)</f>
        <v>1.0355700449640555</v>
      </c>
      <c r="F39" s="34">
        <f>IFERROR(HistoricalFS!F78/HistoricalFS!F6,0)</f>
        <v>0.60659673297425742</v>
      </c>
      <c r="G39" s="34">
        <f>IFERROR(HistoricalFS!G78/HistoricalFS!G6,0)</f>
        <v>1.5683344671903023</v>
      </c>
      <c r="H39" s="34">
        <f>IFERROR(HistoricalFS!H78/HistoricalFS!H6,0)</f>
        <v>1.3313351255181853</v>
      </c>
      <c r="I39" s="34">
        <f>IFERROR(HistoricalFS!I78/HistoricalFS!I6,0)</f>
        <v>0.12136923186883876</v>
      </c>
      <c r="J39" s="34">
        <f>IFERROR(HistoricalFS!J78/HistoricalFS!J6,0)</f>
        <v>0.93541081267746817</v>
      </c>
      <c r="K39" s="34">
        <f>IFERROR(HistoricalFS!K78/HistoricalFS!K6,0)</f>
        <v>2.1197512982913236</v>
      </c>
      <c r="L39" s="34">
        <f>IFERROR(HistoricalFS!L78/HistoricalFS!L6,0)</f>
        <v>2.1016574833316719</v>
      </c>
      <c r="N39" s="34">
        <f t="shared" si="2"/>
        <v>1.4788688609765988</v>
      </c>
      <c r="O39" s="34">
        <f t="shared" si="7"/>
        <v>1.4498347963542439</v>
      </c>
    </row>
    <row r="40" spans="2:15" x14ac:dyDescent="0.3">
      <c r="B40" t="s">
        <v>148</v>
      </c>
      <c r="C40" s="35">
        <f>IFERROR(HistoricalFS!C78/HistoricalFS!C64,0)</f>
        <v>3.7135986923041231</v>
      </c>
      <c r="D40" s="35">
        <f>IFERROR(HistoricalFS!D78/HistoricalFS!D64,0)</f>
        <v>2.6967744951911259</v>
      </c>
      <c r="E40" s="35">
        <f>IFERROR(HistoricalFS!E78/HistoricalFS!E64,0)</f>
        <v>1.2658862438859939</v>
      </c>
      <c r="F40" s="35">
        <f>IFERROR(HistoricalFS!F78/HistoricalFS!F64,0)</f>
        <v>0.71826665780449561</v>
      </c>
      <c r="G40" s="35">
        <f>IFERROR(HistoricalFS!G78/HistoricalFS!G64,0)</f>
        <v>1.9641875651026739</v>
      </c>
      <c r="H40" s="35">
        <f>IFERROR(HistoricalFS!H78/HistoricalFS!H64,0)</f>
        <v>1.4201187501658041</v>
      </c>
      <c r="I40" s="35">
        <f>IFERROR(HistoricalFS!I78/HistoricalFS!I64,0)</f>
        <v>0.15384327238404369</v>
      </c>
      <c r="J40" s="35">
        <f>IFERROR(HistoricalFS!J78/HistoricalFS!J64,0)</f>
        <v>1.2514289549030171</v>
      </c>
      <c r="K40" s="35">
        <f>IFERROR(HistoricalFS!K78/HistoricalFS!K64,0)</f>
        <v>2.5163231582330483</v>
      </c>
      <c r="L40" s="35">
        <f>IFERROR(HistoricalFS!L78/HistoricalFS!L64,0)</f>
        <v>2.34746872452047</v>
      </c>
      <c r="N40" s="35">
        <f t="shared" si="2"/>
        <v>1.8047896514494794</v>
      </c>
      <c r="O40" s="35">
        <f t="shared" si="7"/>
        <v>1.692153157634239</v>
      </c>
    </row>
    <row r="41" spans="2:15" x14ac:dyDescent="0.3">
      <c r="B41" s="36" t="s">
        <v>149</v>
      </c>
      <c r="C41" s="37">
        <f>IFERROR(HistoricalFS!C78/HistoricalFS!C49,0)</f>
        <v>121.29048222957715</v>
      </c>
      <c r="D41" s="37">
        <f>IFERROR(HistoricalFS!D78/HistoricalFS!D49,0)</f>
        <v>59.703037441553342</v>
      </c>
      <c r="E41" s="37">
        <f>IFERROR(HistoricalFS!E78/HistoricalFS!E49,0)</f>
        <v>32.662204975348224</v>
      </c>
      <c r="F41" s="37">
        <f>IFERROR(HistoricalFS!F78/HistoricalFS!F49,0)</f>
        <v>8.8443467717490147</v>
      </c>
      <c r="G41" s="37">
        <f>IFERROR(HistoricalFS!G78/HistoricalFS!G49,0)</f>
        <v>28.339740724184175</v>
      </c>
      <c r="H41" s="37">
        <f>IFERROR(HistoricalFS!H78/HistoricalFS!H49,0)</f>
        <v>26.444489168618269</v>
      </c>
      <c r="I41" s="37">
        <f>IFERROR(HistoricalFS!I78/HistoricalFS!I49,0)</f>
        <v>2.2257511595079653</v>
      </c>
      <c r="J41" s="37">
        <f>IFERROR(HistoricalFS!J78/HistoricalFS!J49,0)</f>
        <v>16.692883236228539</v>
      </c>
      <c r="K41" s="37">
        <f>IFERROR(HistoricalFS!K78/HistoricalFS!K49,0)</f>
        <v>30.407617261697879</v>
      </c>
      <c r="L41" s="37">
        <f>IFERROR(HistoricalFS!L78/HistoricalFS!L49,0)</f>
        <v>31.113090481991364</v>
      </c>
      <c r="N41" s="37">
        <f t="shared" si="2"/>
        <v>35.772364345045588</v>
      </c>
      <c r="O41" s="37">
        <f t="shared" si="7"/>
        <v>29.373678992941027</v>
      </c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8F7BBD59-DF2F-482B-AC13-5037A114BEC1}">
          <x14:colorSeries theme="4" tint="-0.249977111117893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markers="1" xr2:uid="{A8640540-03D1-4215-ACF2-A29AD54822B1}">
          <x14:colorSeries theme="4" tint="-0.249977111117893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AF39-4AC2-49F1-B7CB-45272F23C11B}">
  <dimension ref="B2:Q20"/>
  <sheetViews>
    <sheetView showGridLines="0" workbookViewId="0">
      <selection activeCell="N25" sqref="N25"/>
    </sheetView>
  </sheetViews>
  <sheetFormatPr defaultRowHeight="14.4" x14ac:dyDescent="0.3"/>
  <cols>
    <col min="1" max="1" width="1.88671875" customWidth="1"/>
    <col min="2" max="2" width="11.88671875" bestFit="1" customWidth="1"/>
    <col min="3" max="3" width="6.109375" bestFit="1" customWidth="1"/>
    <col min="4" max="4" width="11.44140625" customWidth="1"/>
    <col min="5" max="5" width="7.21875" customWidth="1"/>
    <col min="6" max="6" width="11.5546875" customWidth="1"/>
    <col min="7" max="7" width="13.33203125" customWidth="1"/>
    <col min="8" max="8" width="1.77734375" customWidth="1"/>
    <col min="9" max="9" width="11.88671875" bestFit="1" customWidth="1"/>
    <col min="10" max="10" width="6.109375" bestFit="1" customWidth="1"/>
    <col min="11" max="11" width="10" bestFit="1" customWidth="1"/>
    <col min="12" max="12" width="17" customWidth="1"/>
    <col min="13" max="13" width="1.77734375" customWidth="1"/>
    <col min="14" max="14" width="16.21875" customWidth="1"/>
    <col min="15" max="15" width="10.88671875" customWidth="1"/>
    <col min="16" max="16" width="12.5546875" customWidth="1"/>
    <col min="17" max="17" width="9" bestFit="1" customWidth="1"/>
    <col min="18" max="18" width="11.88671875" bestFit="1" customWidth="1"/>
  </cols>
  <sheetData>
    <row r="2" spans="4:17" x14ac:dyDescent="0.3">
      <c r="D2" s="153" t="str">
        <f>'Data Sheet'!$B$1&amp;" - "&amp;'Data Sheet'!A17&amp;" Forecasting"</f>
        <v>ASIAN PAINTS LTD - Sales Forecasting</v>
      </c>
      <c r="E2" s="153"/>
      <c r="F2" s="153"/>
      <c r="G2" s="153"/>
      <c r="I2" s="153" t="str">
        <f>'Data Sheet'!$B$1&amp;" - "&amp;HistoricalFS!B18&amp;" Forecasting"</f>
        <v>ASIAN PAINTS LTD - EBITDA Forecasting</v>
      </c>
      <c r="J2" s="153"/>
      <c r="K2" s="153"/>
      <c r="L2" s="153"/>
      <c r="N2" s="153" t="str">
        <f>'Data Sheet'!$B$1&amp;" - "&amp;HistoricalFS!B38&amp;" Forecasting"</f>
        <v>ASIAN PAINTS LTD - Earnings Per Share(EPS) Forecasting</v>
      </c>
      <c r="O2" s="153"/>
      <c r="P2" s="153"/>
      <c r="Q2" s="153"/>
    </row>
    <row r="3" spans="4:17" x14ac:dyDescent="0.3">
      <c r="D3" s="9" t="s">
        <v>154</v>
      </c>
      <c r="E3" s="48" t="s">
        <v>54</v>
      </c>
      <c r="F3" s="48" t="s">
        <v>12</v>
      </c>
      <c r="G3" s="48" t="s">
        <v>57</v>
      </c>
      <c r="I3" s="9" t="s">
        <v>154</v>
      </c>
      <c r="J3" s="48" t="s">
        <v>54</v>
      </c>
      <c r="K3" s="48" t="s">
        <v>12</v>
      </c>
      <c r="L3" s="48" t="s">
        <v>57</v>
      </c>
      <c r="N3" s="9" t="s">
        <v>154</v>
      </c>
      <c r="O3" s="48" t="s">
        <v>54</v>
      </c>
      <c r="P3" s="48" t="s">
        <v>12</v>
      </c>
      <c r="Q3" s="48" t="s">
        <v>57</v>
      </c>
    </row>
    <row r="4" spans="4:17" x14ac:dyDescent="0.3">
      <c r="D4" s="45">
        <v>1</v>
      </c>
      <c r="E4" s="46">
        <f>'Data Sheet'!$B$16</f>
        <v>42460</v>
      </c>
      <c r="F4" s="49">
        <f t="array" ref="F4:F13">TRANSPOSE('Data Sheet'!B17:K17)</f>
        <v>14271.49</v>
      </c>
      <c r="I4" s="45">
        <v>1</v>
      </c>
      <c r="J4" s="46">
        <f>'Data Sheet'!$B$16</f>
        <v>42460</v>
      </c>
      <c r="K4" s="49">
        <f t="array" ref="K4:K13">TRANSPOSE(HistoricalFS!C18:L18)</f>
        <v>2725.0400000000013</v>
      </c>
      <c r="N4" s="45">
        <v>1</v>
      </c>
      <c r="O4" s="46">
        <f>'Data Sheet'!$B$16</f>
        <v>42460</v>
      </c>
      <c r="P4" s="49">
        <f t="array" ref="P4:P13">TRANSPOSE(HistoricalFS!C38:L38)</f>
        <v>16.221538782318614</v>
      </c>
    </row>
    <row r="5" spans="4:17" x14ac:dyDescent="0.3">
      <c r="D5" s="45">
        <f>D4+1</f>
        <v>2</v>
      </c>
      <c r="E5" s="46">
        <f>E4+365</f>
        <v>42825</v>
      </c>
      <c r="F5" s="49">
        <v>15061.99</v>
      </c>
      <c r="G5" s="21">
        <f>F5/F4-1</f>
        <v>5.5390151974320734E-2</v>
      </c>
      <c r="I5" s="45">
        <f>I4+1</f>
        <v>2</v>
      </c>
      <c r="J5" s="46">
        <f>J4+365</f>
        <v>42825</v>
      </c>
      <c r="K5" s="49">
        <v>2993.76</v>
      </c>
      <c r="L5" s="21">
        <f>K5/K4-1</f>
        <v>9.861139652995865E-2</v>
      </c>
      <c r="N5" s="45">
        <f>N4+1</f>
        <v>2</v>
      </c>
      <c r="O5" s="46">
        <f>O4+365</f>
        <v>42825</v>
      </c>
      <c r="P5" s="49">
        <v>17.497393661384489</v>
      </c>
      <c r="Q5" s="21">
        <f>P5/P4-1</f>
        <v>7.8651902028958443E-2</v>
      </c>
    </row>
    <row r="6" spans="4:17" x14ac:dyDescent="0.3">
      <c r="D6" s="45">
        <f t="shared" ref="D6:D18" si="0">D5+1</f>
        <v>3</v>
      </c>
      <c r="E6" s="46">
        <f t="shared" ref="E6:E18" si="1">E5+365</f>
        <v>43190</v>
      </c>
      <c r="F6" s="49">
        <v>16824.55</v>
      </c>
      <c r="G6" s="21">
        <f t="shared" ref="G6:G18" si="2">F6/F5-1</f>
        <v>0.11702039371955486</v>
      </c>
      <c r="I6" s="45">
        <f t="shared" ref="I6:I18" si="3">I5+1</f>
        <v>3</v>
      </c>
      <c r="J6" s="46">
        <f t="shared" ref="J6:J18" si="4">J5+365</f>
        <v>43190</v>
      </c>
      <c r="K6" s="49">
        <v>3204.0100000000011</v>
      </c>
      <c r="L6" s="21">
        <f t="shared" ref="L6:L18" si="5">K6/K5-1</f>
        <v>7.0229410507188561E-2</v>
      </c>
      <c r="N6" s="45">
        <f t="shared" ref="N6:N18" si="6">N5+1</f>
        <v>3</v>
      </c>
      <c r="O6" s="46">
        <f t="shared" ref="O6:O18" si="7">O5+365</f>
        <v>43190</v>
      </c>
      <c r="P6" s="49">
        <v>18.360195996663897</v>
      </c>
      <c r="Q6" s="21">
        <f t="shared" ref="Q6:Q18" si="8">P6/P5-1</f>
        <v>4.9310334554771629E-2</v>
      </c>
    </row>
    <row r="7" spans="4:17" x14ac:dyDescent="0.3">
      <c r="D7" s="45">
        <f t="shared" si="0"/>
        <v>4</v>
      </c>
      <c r="E7" s="46">
        <f t="shared" si="1"/>
        <v>43555</v>
      </c>
      <c r="F7" s="49">
        <v>19240.13</v>
      </c>
      <c r="G7" s="21">
        <f t="shared" si="2"/>
        <v>0.14357471670861943</v>
      </c>
      <c r="I7" s="45">
        <f t="shared" si="3"/>
        <v>4</v>
      </c>
      <c r="J7" s="46">
        <f t="shared" si="4"/>
        <v>43555</v>
      </c>
      <c r="K7" s="49">
        <v>3764.9400000000014</v>
      </c>
      <c r="L7" s="21">
        <f t="shared" si="5"/>
        <v>0.17507123885381137</v>
      </c>
      <c r="N7" s="45">
        <f t="shared" si="6"/>
        <v>4</v>
      </c>
      <c r="O7" s="46">
        <f t="shared" si="7"/>
        <v>43555</v>
      </c>
      <c r="P7" s="49">
        <v>20.165450375312773</v>
      </c>
      <c r="Q7" s="21">
        <f t="shared" si="8"/>
        <v>9.8324352255111824E-2</v>
      </c>
    </row>
    <row r="8" spans="4:17" x14ac:dyDescent="0.3">
      <c r="D8" s="45">
        <f t="shared" si="0"/>
        <v>5</v>
      </c>
      <c r="E8" s="46">
        <f t="shared" si="1"/>
        <v>43920</v>
      </c>
      <c r="F8" s="49">
        <v>20211.25</v>
      </c>
      <c r="G8" s="21">
        <f t="shared" si="2"/>
        <v>5.0473671435691925E-2</v>
      </c>
      <c r="I8" s="45">
        <f t="shared" si="3"/>
        <v>5</v>
      </c>
      <c r="J8" s="46">
        <f t="shared" si="4"/>
        <v>43920</v>
      </c>
      <c r="K8" s="49">
        <v>4156.8199999999979</v>
      </c>
      <c r="L8" s="21">
        <f t="shared" si="5"/>
        <v>0.10408665211132084</v>
      </c>
      <c r="N8" s="45">
        <f t="shared" si="6"/>
        <v>5</v>
      </c>
      <c r="O8" s="46">
        <f t="shared" si="7"/>
        <v>43920</v>
      </c>
      <c r="P8" s="49">
        <v>25.220391993327752</v>
      </c>
      <c r="Q8" s="21">
        <f t="shared" si="8"/>
        <v>0.25067338065523237</v>
      </c>
    </row>
    <row r="9" spans="4:17" x14ac:dyDescent="0.3">
      <c r="D9" s="45">
        <f t="shared" si="0"/>
        <v>6</v>
      </c>
      <c r="E9" s="46">
        <f t="shared" si="1"/>
        <v>44285</v>
      </c>
      <c r="F9" s="49">
        <v>21712.79</v>
      </c>
      <c r="G9" s="21">
        <f t="shared" si="2"/>
        <v>7.4292287711052118E-2</v>
      </c>
      <c r="I9" s="45">
        <f t="shared" si="3"/>
        <v>6</v>
      </c>
      <c r="J9" s="46">
        <f t="shared" si="4"/>
        <v>44285</v>
      </c>
      <c r="K9" s="49">
        <v>4855.6000000000031</v>
      </c>
      <c r="L9" s="21">
        <f t="shared" si="5"/>
        <v>0.16810446447043792</v>
      </c>
      <c r="N9" s="45">
        <f t="shared" si="6"/>
        <v>6</v>
      </c>
      <c r="O9" s="46">
        <f t="shared" si="7"/>
        <v>44285</v>
      </c>
      <c r="P9" s="49">
        <v>29.973936613844902</v>
      </c>
      <c r="Q9" s="21">
        <f t="shared" si="8"/>
        <v>0.18848020370875829</v>
      </c>
    </row>
    <row r="10" spans="4:17" x14ac:dyDescent="0.3">
      <c r="D10" s="45">
        <f t="shared" si="0"/>
        <v>7</v>
      </c>
      <c r="E10" s="46">
        <f t="shared" si="1"/>
        <v>44650</v>
      </c>
      <c r="F10" s="49">
        <v>29101.279999999999</v>
      </c>
      <c r="G10" s="21">
        <f t="shared" si="2"/>
        <v>0.34028284711453471</v>
      </c>
      <c r="I10" s="45">
        <f t="shared" si="3"/>
        <v>7</v>
      </c>
      <c r="J10" s="46">
        <f t="shared" si="4"/>
        <v>44650</v>
      </c>
      <c r="K10" s="49">
        <v>4803.6099999999988</v>
      </c>
      <c r="L10" s="21">
        <f t="shared" si="5"/>
        <v>-1.0707224647830249E-2</v>
      </c>
      <c r="N10" s="45">
        <f t="shared" si="6"/>
        <v>7</v>
      </c>
      <c r="O10" s="46">
        <f t="shared" si="7"/>
        <v>44650</v>
      </c>
      <c r="P10" s="49">
        <v>29.075583819849857</v>
      </c>
      <c r="Q10" s="21">
        <f t="shared" si="8"/>
        <v>-2.9971131438908061E-2</v>
      </c>
    </row>
    <row r="11" spans="4:17" x14ac:dyDescent="0.3">
      <c r="D11" s="45">
        <f t="shared" si="0"/>
        <v>8</v>
      </c>
      <c r="E11" s="46">
        <f t="shared" si="1"/>
        <v>45015</v>
      </c>
      <c r="F11" s="49">
        <v>34488.589999999997</v>
      </c>
      <c r="G11" s="21">
        <f t="shared" si="2"/>
        <v>0.18512278497715551</v>
      </c>
      <c r="I11" s="45">
        <f t="shared" si="3"/>
        <v>8</v>
      </c>
      <c r="J11" s="46">
        <f t="shared" si="4"/>
        <v>45015</v>
      </c>
      <c r="K11" s="49">
        <v>6259.8399999999956</v>
      </c>
      <c r="L11" s="21">
        <f t="shared" si="5"/>
        <v>0.3031532534906034</v>
      </c>
      <c r="N11" s="45">
        <f t="shared" si="6"/>
        <v>8</v>
      </c>
      <c r="O11" s="46">
        <f t="shared" si="7"/>
        <v>45015</v>
      </c>
      <c r="P11" s="49">
        <v>39.23967889908252</v>
      </c>
      <c r="Q11" s="21">
        <f t="shared" si="8"/>
        <v>0.34957492658474676</v>
      </c>
    </row>
    <row r="12" spans="4:17" x14ac:dyDescent="0.3">
      <c r="D12" s="45">
        <f t="shared" si="0"/>
        <v>9</v>
      </c>
      <c r="E12" s="46">
        <f t="shared" si="1"/>
        <v>45380</v>
      </c>
      <c r="F12" s="49">
        <v>35494.730000000003</v>
      </c>
      <c r="G12" s="21">
        <f t="shared" si="2"/>
        <v>2.9173126532572313E-2</v>
      </c>
      <c r="I12" s="45">
        <f t="shared" si="3"/>
        <v>9</v>
      </c>
      <c r="J12" s="46">
        <f t="shared" si="4"/>
        <v>45380</v>
      </c>
      <c r="K12" s="49">
        <v>7584.9800000000014</v>
      </c>
      <c r="L12" s="21">
        <f t="shared" si="5"/>
        <v>0.21168911665473988</v>
      </c>
      <c r="N12" s="45">
        <f t="shared" si="6"/>
        <v>9</v>
      </c>
      <c r="O12" s="46">
        <f t="shared" si="7"/>
        <v>45380</v>
      </c>
      <c r="P12" s="49">
        <v>49.382089241034208</v>
      </c>
      <c r="Q12" s="21">
        <f t="shared" si="8"/>
        <v>0.25847332665581102</v>
      </c>
    </row>
    <row r="13" spans="4:17" x14ac:dyDescent="0.3">
      <c r="D13" s="45">
        <f t="shared" si="0"/>
        <v>10</v>
      </c>
      <c r="E13" s="46">
        <f t="shared" si="1"/>
        <v>45745</v>
      </c>
      <c r="F13" s="49">
        <v>33905.620000000003</v>
      </c>
      <c r="G13" s="21">
        <f t="shared" si="2"/>
        <v>-4.4770308155605121E-2</v>
      </c>
      <c r="I13" s="45">
        <f t="shared" si="3"/>
        <v>10</v>
      </c>
      <c r="J13" s="46">
        <f t="shared" si="4"/>
        <v>45745</v>
      </c>
      <c r="K13" s="49">
        <v>6006.2100000000019</v>
      </c>
      <c r="L13" s="21">
        <f t="shared" si="5"/>
        <v>-0.20814425351154509</v>
      </c>
      <c r="N13" s="45">
        <f t="shared" si="6"/>
        <v>10</v>
      </c>
      <c r="O13" s="46">
        <f t="shared" si="7"/>
        <v>45745</v>
      </c>
      <c r="P13" s="49">
        <v>35.023874061718125</v>
      </c>
      <c r="Q13" s="21">
        <f t="shared" si="8"/>
        <v>-0.29075754792863395</v>
      </c>
    </row>
    <row r="14" spans="4:17" x14ac:dyDescent="0.3">
      <c r="D14" s="50">
        <f t="shared" si="0"/>
        <v>11</v>
      </c>
      <c r="E14" s="51">
        <f t="shared" si="1"/>
        <v>46110</v>
      </c>
      <c r="F14" s="53">
        <f>FORECAST(D14,$F$4:$F$13,$D$4:$D$13)</f>
        <v>38669.293333333335</v>
      </c>
      <c r="G14" s="52">
        <f t="shared" si="2"/>
        <v>0.14049804526014653</v>
      </c>
      <c r="I14" s="50">
        <f t="shared" si="3"/>
        <v>11</v>
      </c>
      <c r="J14" s="51">
        <f t="shared" si="4"/>
        <v>46110</v>
      </c>
      <c r="K14" s="53">
        <f>FORECAST(I14,$K$4:$K$13,$I$4:$I$13)</f>
        <v>7327.5813333333326</v>
      </c>
      <c r="L14" s="52">
        <f t="shared" si="5"/>
        <v>0.22000085467097064</v>
      </c>
      <c r="N14" s="50">
        <f t="shared" si="6"/>
        <v>11</v>
      </c>
      <c r="O14" s="51">
        <f t="shared" si="7"/>
        <v>46110</v>
      </c>
      <c r="P14" s="53">
        <f>FORECAST(N14,$P$4:$P$13,$N$4:$N$13)</f>
        <v>45.625854879065884</v>
      </c>
      <c r="Q14" s="52">
        <f t="shared" si="8"/>
        <v>0.30270725616090433</v>
      </c>
    </row>
    <row r="15" spans="4:17" x14ac:dyDescent="0.3">
      <c r="D15" s="50">
        <f t="shared" si="0"/>
        <v>12</v>
      </c>
      <c r="E15" s="51">
        <f t="shared" si="1"/>
        <v>46475</v>
      </c>
      <c r="F15" s="53">
        <f>FORECAST(D15,$F$4:$F$13,$D$4:$D$13)</f>
        <v>41330.757212121214</v>
      </c>
      <c r="G15" s="52">
        <f t="shared" si="2"/>
        <v>6.8826286941573667E-2</v>
      </c>
      <c r="I15" s="50">
        <f t="shared" si="3"/>
        <v>12</v>
      </c>
      <c r="J15" s="51">
        <f t="shared" si="4"/>
        <v>46475</v>
      </c>
      <c r="K15" s="53">
        <f>FORECAST(I15,$K$4:$K$13,$I$4:$I$13)</f>
        <v>7817.0541212121198</v>
      </c>
      <c r="L15" s="52">
        <f t="shared" si="5"/>
        <v>6.6798683714661022E-2</v>
      </c>
      <c r="N15" s="50">
        <f t="shared" si="6"/>
        <v>12</v>
      </c>
      <c r="O15" s="51">
        <f t="shared" si="7"/>
        <v>46475</v>
      </c>
      <c r="P15" s="53">
        <f>FORECAST(N15,$P$4:$P$13,$N$4:$N$13)</f>
        <v>48.827644248995369</v>
      </c>
      <c r="Q15" s="52">
        <f t="shared" si="8"/>
        <v>7.0174890496101927E-2</v>
      </c>
    </row>
    <row r="16" spans="4:17" x14ac:dyDescent="0.3">
      <c r="D16" s="50">
        <f t="shared" si="0"/>
        <v>13</v>
      </c>
      <c r="E16" s="51">
        <f t="shared" si="1"/>
        <v>46840</v>
      </c>
      <c r="F16" s="53">
        <f>FORECAST(D16,$F$4:$F$13,$D$4:$D$13)</f>
        <v>43992.221090909094</v>
      </c>
      <c r="G16" s="52">
        <f t="shared" si="2"/>
        <v>6.4394268537798283E-2</v>
      </c>
      <c r="I16" s="50">
        <f t="shared" si="3"/>
        <v>13</v>
      </c>
      <c r="J16" s="51">
        <f t="shared" si="4"/>
        <v>46840</v>
      </c>
      <c r="K16" s="53">
        <f>FORECAST(I16,$K$4:$K$13,$I$4:$I$13)</f>
        <v>8306.5269090909078</v>
      </c>
      <c r="L16" s="52">
        <f t="shared" si="5"/>
        <v>6.2616016249723794E-2</v>
      </c>
      <c r="N16" s="50">
        <f t="shared" si="6"/>
        <v>13</v>
      </c>
      <c r="O16" s="51">
        <f t="shared" si="7"/>
        <v>46840</v>
      </c>
      <c r="P16" s="53">
        <f>FORECAST(N16,$P$4:$P$13,$N$4:$N$13)</f>
        <v>52.029433618924855</v>
      </c>
      <c r="Q16" s="52">
        <f t="shared" si="8"/>
        <v>6.5573291916399601E-2</v>
      </c>
    </row>
    <row r="17" spans="2:17" x14ac:dyDescent="0.3">
      <c r="D17" s="50">
        <f t="shared" si="0"/>
        <v>14</v>
      </c>
      <c r="E17" s="51">
        <f t="shared" si="1"/>
        <v>47205</v>
      </c>
      <c r="F17" s="53">
        <f>FORECAST(D17,$F$4:$F$13,$D$4:$D$13)</f>
        <v>46653.684969696973</v>
      </c>
      <c r="G17" s="52">
        <f t="shared" si="2"/>
        <v>6.0498511163780799E-2</v>
      </c>
      <c r="I17" s="50">
        <f t="shared" si="3"/>
        <v>14</v>
      </c>
      <c r="J17" s="51">
        <f t="shared" si="4"/>
        <v>47205</v>
      </c>
      <c r="K17" s="53">
        <f>FORECAST(I17,$K$4:$K$13,$I$4:$I$13)</f>
        <v>8795.9996969696949</v>
      </c>
      <c r="L17" s="52">
        <f t="shared" si="5"/>
        <v>5.8926286910970349E-2</v>
      </c>
      <c r="N17" s="50">
        <f t="shared" si="6"/>
        <v>14</v>
      </c>
      <c r="O17" s="51">
        <f t="shared" si="7"/>
        <v>47205</v>
      </c>
      <c r="P17" s="53">
        <f>FORECAST(N17,$P$4:$P$13,$N$4:$N$13)</f>
        <v>55.231222988854341</v>
      </c>
      <c r="Q17" s="52">
        <f t="shared" si="8"/>
        <v>6.1538040052100174E-2</v>
      </c>
    </row>
    <row r="18" spans="2:17" x14ac:dyDescent="0.3">
      <c r="D18" s="50">
        <f t="shared" si="0"/>
        <v>15</v>
      </c>
      <c r="E18" s="51">
        <f t="shared" si="1"/>
        <v>47570</v>
      </c>
      <c r="F18" s="53">
        <f>FORECAST(D18,$F$4:$F$13,$D$4:$D$13)</f>
        <v>49315.148848484852</v>
      </c>
      <c r="G18" s="52">
        <f t="shared" si="2"/>
        <v>5.7047238187435401E-2</v>
      </c>
      <c r="I18" s="50">
        <f t="shared" si="3"/>
        <v>15</v>
      </c>
      <c r="J18" s="51">
        <f t="shared" si="4"/>
        <v>47570</v>
      </c>
      <c r="K18" s="53">
        <f>FORECAST(I18,$K$4:$K$13,$I$4:$I$13)</f>
        <v>9285.4724848484839</v>
      </c>
      <c r="L18" s="52">
        <f t="shared" si="5"/>
        <v>5.5647203813276258E-2</v>
      </c>
      <c r="N18" s="50">
        <f t="shared" si="6"/>
        <v>15</v>
      </c>
      <c r="O18" s="51">
        <f t="shared" si="7"/>
        <v>47570</v>
      </c>
      <c r="P18" s="53">
        <f>FORECAST(N18,$P$4:$P$13,$N$4:$N$13)</f>
        <v>58.433012358783827</v>
      </c>
      <c r="Q18" s="52">
        <f t="shared" si="8"/>
        <v>5.7970640457764455E-2</v>
      </c>
    </row>
    <row r="19" spans="2:17" x14ac:dyDescent="0.3">
      <c r="B19" s="45"/>
      <c r="C19" s="47"/>
    </row>
    <row r="20" spans="2:17" x14ac:dyDescent="0.3">
      <c r="B20" s="45"/>
      <c r="C20" s="47"/>
    </row>
  </sheetData>
  <mergeCells count="3">
    <mergeCell ref="D2:G2"/>
    <mergeCell ref="I2:L2"/>
    <mergeCell ref="N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A21A-EEBB-4749-B321-6329C6E70425}">
  <dimension ref="B2:N33"/>
  <sheetViews>
    <sheetView topLeftCell="A2" workbookViewId="0">
      <selection activeCell="P20" sqref="P20"/>
    </sheetView>
  </sheetViews>
  <sheetFormatPr defaultRowHeight="14.4" x14ac:dyDescent="0.3"/>
  <cols>
    <col min="2" max="2" width="25.77734375" bestFit="1" customWidth="1"/>
  </cols>
  <sheetData>
    <row r="2" spans="2:14" x14ac:dyDescent="0.3">
      <c r="C2" s="25">
        <v>41699</v>
      </c>
      <c r="D2" s="25">
        <v>42064</v>
      </c>
      <c r="E2" s="25">
        <v>42430</v>
      </c>
      <c r="F2" s="25">
        <v>42795</v>
      </c>
      <c r="G2" s="25">
        <v>43160</v>
      </c>
      <c r="H2" s="25">
        <v>43525</v>
      </c>
      <c r="I2" s="25">
        <v>43891</v>
      </c>
      <c r="J2" s="25">
        <v>44256</v>
      </c>
      <c r="K2" s="25">
        <v>44621</v>
      </c>
      <c r="L2" s="25">
        <v>44986</v>
      </c>
      <c r="M2" s="25">
        <v>45352</v>
      </c>
      <c r="N2" s="25">
        <v>45717</v>
      </c>
    </row>
    <row r="3" spans="2:14" x14ac:dyDescent="0.3">
      <c r="B3" t="s">
        <v>87</v>
      </c>
      <c r="C3" s="26">
        <v>36151</v>
      </c>
      <c r="D3" s="26">
        <v>35531</v>
      </c>
      <c r="E3" s="26">
        <v>37900</v>
      </c>
      <c r="F3" s="26">
        <v>30199</v>
      </c>
      <c r="G3" s="26">
        <v>23857</v>
      </c>
      <c r="H3" s="26">
        <v>18891</v>
      </c>
      <c r="I3" s="26">
        <v>26633</v>
      </c>
      <c r="J3" s="26">
        <v>29001</v>
      </c>
      <c r="K3" s="26">
        <v>14283</v>
      </c>
      <c r="L3" s="26">
        <v>35388</v>
      </c>
      <c r="M3" s="26">
        <v>67915</v>
      </c>
      <c r="N3" s="26">
        <v>63102</v>
      </c>
    </row>
    <row r="4" spans="2:14" x14ac:dyDescent="0.3">
      <c r="B4" t="s">
        <v>88</v>
      </c>
      <c r="C4" s="26">
        <v>36303</v>
      </c>
      <c r="D4" s="26">
        <v>43397</v>
      </c>
      <c r="E4" s="26">
        <v>38626</v>
      </c>
      <c r="F4" s="26">
        <v>28840</v>
      </c>
      <c r="G4" s="26">
        <v>33312</v>
      </c>
      <c r="H4" s="26">
        <v>28771</v>
      </c>
      <c r="I4" s="26">
        <v>23352</v>
      </c>
      <c r="J4" s="26">
        <v>31198</v>
      </c>
      <c r="K4" s="26">
        <v>26943</v>
      </c>
      <c r="L4" s="26">
        <v>41694</v>
      </c>
      <c r="M4" s="26">
        <v>65106</v>
      </c>
      <c r="N4" s="26">
        <v>58937</v>
      </c>
    </row>
    <row r="5" spans="2:14" x14ac:dyDescent="0.3">
      <c r="B5" t="s">
        <v>40</v>
      </c>
      <c r="C5">
        <v>445</v>
      </c>
      <c r="D5" s="26">
        <v>-3179</v>
      </c>
      <c r="E5" s="26">
        <v>-2223</v>
      </c>
      <c r="F5" s="26">
        <v>-4152</v>
      </c>
      <c r="G5" s="26">
        <v>-10688</v>
      </c>
      <c r="H5" s="26">
        <v>-9109</v>
      </c>
      <c r="I5" s="26">
        <v>9950</v>
      </c>
      <c r="J5" s="26">
        <v>-5505</v>
      </c>
      <c r="K5">
        <v>185</v>
      </c>
      <c r="L5" s="26">
        <v>-2213</v>
      </c>
      <c r="M5" s="26">
        <v>-1876</v>
      </c>
      <c r="N5" s="26">
        <v>3573</v>
      </c>
    </row>
    <row r="6" spans="2:14" x14ac:dyDescent="0.3">
      <c r="B6" t="s">
        <v>41</v>
      </c>
      <c r="C6" s="26">
        <v>-2853</v>
      </c>
      <c r="D6" s="26">
        <v>-3692</v>
      </c>
      <c r="E6" s="26">
        <v>-5743</v>
      </c>
      <c r="F6" s="26">
        <v>-6621</v>
      </c>
      <c r="G6" s="26">
        <v>-3560</v>
      </c>
      <c r="H6" s="26">
        <v>2069</v>
      </c>
      <c r="I6" s="26">
        <v>2326</v>
      </c>
      <c r="J6" s="26">
        <v>3814</v>
      </c>
      <c r="K6">
        <v>472</v>
      </c>
      <c r="L6" s="26">
        <v>-5665</v>
      </c>
      <c r="M6" s="26">
        <v>-7265</v>
      </c>
      <c r="N6" s="26">
        <v>2127</v>
      </c>
    </row>
    <row r="7" spans="2:14" x14ac:dyDescent="0.3">
      <c r="B7" t="s">
        <v>89</v>
      </c>
      <c r="C7" s="26">
        <v>4694</v>
      </c>
      <c r="D7" s="26">
        <v>3598</v>
      </c>
      <c r="E7" s="26">
        <v>3947</v>
      </c>
      <c r="F7" s="26">
        <v>9301</v>
      </c>
      <c r="G7" s="26">
        <v>7320</v>
      </c>
      <c r="H7" s="26">
        <v>-4692</v>
      </c>
      <c r="I7" s="26">
        <v>-8085</v>
      </c>
      <c r="J7" s="26">
        <v>5748</v>
      </c>
      <c r="K7" s="26">
        <v>-7012</v>
      </c>
      <c r="L7" s="26">
        <v>6945</v>
      </c>
      <c r="M7" s="26">
        <v>13706</v>
      </c>
      <c r="N7" s="26">
        <v>1303</v>
      </c>
    </row>
    <row r="8" spans="2:14" x14ac:dyDescent="0.3">
      <c r="B8" t="s">
        <v>90</v>
      </c>
      <c r="C8">
        <v>0</v>
      </c>
      <c r="D8">
        <v>0</v>
      </c>
      <c r="E8">
        <v>-520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3">
      <c r="B9" t="s">
        <v>91</v>
      </c>
      <c r="C9" s="26">
        <v>1870</v>
      </c>
      <c r="D9">
        <v>-398</v>
      </c>
      <c r="E9" s="26">
        <v>5852</v>
      </c>
      <c r="F9" s="26">
        <v>4727</v>
      </c>
      <c r="G9">
        <v>494</v>
      </c>
      <c r="H9" s="26">
        <v>4512</v>
      </c>
      <c r="I9">
        <v>875</v>
      </c>
      <c r="J9" s="26">
        <v>-4150</v>
      </c>
      <c r="K9" s="26">
        <v>-4396</v>
      </c>
      <c r="L9" s="26">
        <v>-2194</v>
      </c>
      <c r="M9" s="26">
        <v>2760</v>
      </c>
      <c r="N9" s="26">
        <v>1153</v>
      </c>
    </row>
    <row r="10" spans="2:14" x14ac:dyDescent="0.3">
      <c r="B10" t="s">
        <v>92</v>
      </c>
      <c r="C10" s="26">
        <v>4157</v>
      </c>
      <c r="D10" s="26">
        <v>-3672</v>
      </c>
      <c r="E10" s="26">
        <v>1313</v>
      </c>
      <c r="F10" s="26">
        <v>3254</v>
      </c>
      <c r="G10" s="26">
        <v>-6434</v>
      </c>
      <c r="H10" s="26">
        <v>-7221</v>
      </c>
      <c r="I10" s="26">
        <v>5065</v>
      </c>
      <c r="J10">
        <v>-93</v>
      </c>
      <c r="K10" s="26">
        <v>-10750</v>
      </c>
      <c r="L10" s="26">
        <v>-3127</v>
      </c>
      <c r="M10" s="26">
        <v>7325</v>
      </c>
      <c r="N10" s="26">
        <v>8156</v>
      </c>
    </row>
    <row r="11" spans="2:14" x14ac:dyDescent="0.3">
      <c r="B11" t="s">
        <v>93</v>
      </c>
      <c r="C11" s="26">
        <v>-4308</v>
      </c>
      <c r="D11" s="26">
        <v>-4194</v>
      </c>
      <c r="E11" s="26">
        <v>-2040</v>
      </c>
      <c r="F11" s="26">
        <v>-1895</v>
      </c>
      <c r="G11" s="26">
        <v>-3021</v>
      </c>
      <c r="H11" s="26">
        <v>-2659</v>
      </c>
      <c r="I11" s="26">
        <v>-1785</v>
      </c>
      <c r="J11" s="26">
        <v>-2105</v>
      </c>
      <c r="K11" s="26">
        <v>-1910</v>
      </c>
      <c r="L11" s="26">
        <v>-3179</v>
      </c>
      <c r="M11" s="26">
        <v>-4516</v>
      </c>
      <c r="N11" s="26">
        <v>-3991</v>
      </c>
    </row>
    <row r="12" spans="2:14" x14ac:dyDescent="0.3">
      <c r="B12" t="s">
        <v>94</v>
      </c>
      <c r="C12" s="26">
        <v>-27991</v>
      </c>
      <c r="D12" s="26">
        <v>-36232</v>
      </c>
      <c r="E12" s="26">
        <v>-36694</v>
      </c>
      <c r="F12" s="26">
        <v>-39571</v>
      </c>
      <c r="G12" s="26">
        <v>-25139</v>
      </c>
      <c r="H12" s="26">
        <v>-20878</v>
      </c>
      <c r="I12" s="26">
        <v>-33115</v>
      </c>
      <c r="J12" s="26">
        <v>-25672</v>
      </c>
      <c r="K12" s="26">
        <v>-4444</v>
      </c>
      <c r="L12" s="26">
        <v>-15417</v>
      </c>
      <c r="M12" s="26">
        <v>-22781</v>
      </c>
      <c r="N12" s="26">
        <v>-49982</v>
      </c>
    </row>
    <row r="13" spans="2:14" x14ac:dyDescent="0.3">
      <c r="B13" t="s">
        <v>95</v>
      </c>
      <c r="C13" s="26">
        <v>-26975</v>
      </c>
      <c r="D13" s="26">
        <v>-31962</v>
      </c>
      <c r="E13" s="26">
        <v>-31503</v>
      </c>
      <c r="F13" s="26">
        <v>-16072</v>
      </c>
      <c r="G13" s="26">
        <v>-35079</v>
      </c>
      <c r="H13" s="26">
        <v>-35304</v>
      </c>
      <c r="I13" s="26">
        <v>-29702</v>
      </c>
      <c r="J13" s="26">
        <v>-20205</v>
      </c>
      <c r="K13" s="26">
        <v>-15168</v>
      </c>
      <c r="L13" s="26">
        <v>-19230</v>
      </c>
      <c r="M13" s="26">
        <v>-31414</v>
      </c>
      <c r="N13" s="26">
        <v>-38042</v>
      </c>
    </row>
    <row r="14" spans="2:14" x14ac:dyDescent="0.3">
      <c r="B14" t="s">
        <v>96</v>
      </c>
      <c r="C14">
        <v>50</v>
      </c>
      <c r="D14">
        <v>74</v>
      </c>
      <c r="E14">
        <v>59</v>
      </c>
      <c r="F14">
        <v>53</v>
      </c>
      <c r="G14">
        <v>30</v>
      </c>
      <c r="H14">
        <v>67</v>
      </c>
      <c r="I14">
        <v>171</v>
      </c>
      <c r="J14">
        <v>351</v>
      </c>
      <c r="K14">
        <v>230</v>
      </c>
      <c r="L14">
        <v>285</v>
      </c>
      <c r="M14">
        <v>231</v>
      </c>
      <c r="N14">
        <v>974</v>
      </c>
    </row>
    <row r="15" spans="2:14" x14ac:dyDescent="0.3">
      <c r="B15" t="s">
        <v>97</v>
      </c>
      <c r="C15">
        <v>-429</v>
      </c>
      <c r="D15" s="26">
        <v>-5461</v>
      </c>
      <c r="E15" s="26">
        <v>-4728</v>
      </c>
      <c r="F15">
        <v>-6</v>
      </c>
      <c r="G15">
        <v>-329</v>
      </c>
      <c r="H15">
        <v>-130</v>
      </c>
      <c r="I15" s="26">
        <v>-1439</v>
      </c>
      <c r="J15" s="26">
        <v>-7530</v>
      </c>
      <c r="K15" s="26">
        <v>-3008</v>
      </c>
      <c r="L15">
        <v>-50</v>
      </c>
      <c r="M15">
        <v>-74</v>
      </c>
      <c r="N15" s="26">
        <v>-12677</v>
      </c>
    </row>
    <row r="16" spans="2:14" x14ac:dyDescent="0.3">
      <c r="B16" t="s">
        <v>98</v>
      </c>
      <c r="C16">
        <v>4</v>
      </c>
      <c r="D16">
        <v>42</v>
      </c>
      <c r="E16">
        <v>89</v>
      </c>
      <c r="F16" s="26">
        <v>1965</v>
      </c>
      <c r="G16" s="26">
        <v>2381</v>
      </c>
      <c r="H16" s="26">
        <v>5644</v>
      </c>
      <c r="I16">
        <v>21</v>
      </c>
      <c r="J16">
        <v>226</v>
      </c>
      <c r="K16">
        <v>104</v>
      </c>
      <c r="L16" s="26">
        <v>6895</v>
      </c>
      <c r="M16" s="26">
        <v>10821</v>
      </c>
      <c r="N16">
        <v>111</v>
      </c>
    </row>
    <row r="17" spans="2:14" x14ac:dyDescent="0.3">
      <c r="B17" t="s">
        <v>99</v>
      </c>
      <c r="C17">
        <v>653</v>
      </c>
      <c r="D17">
        <v>698</v>
      </c>
      <c r="E17">
        <v>731</v>
      </c>
      <c r="F17">
        <v>638</v>
      </c>
      <c r="G17">
        <v>690</v>
      </c>
      <c r="H17">
        <v>761</v>
      </c>
      <c r="I17" s="26">
        <v>1104</v>
      </c>
      <c r="J17">
        <v>428</v>
      </c>
      <c r="K17">
        <v>653</v>
      </c>
      <c r="L17">
        <v>973</v>
      </c>
      <c r="M17" s="26">
        <v>2493</v>
      </c>
      <c r="N17" s="26">
        <v>2420</v>
      </c>
    </row>
    <row r="18" spans="2:14" x14ac:dyDescent="0.3">
      <c r="B18" t="s">
        <v>100</v>
      </c>
      <c r="C18">
        <v>40</v>
      </c>
      <c r="D18">
        <v>80</v>
      </c>
      <c r="E18">
        <v>58</v>
      </c>
      <c r="F18">
        <v>620</v>
      </c>
      <c r="G18" s="26">
        <v>1797</v>
      </c>
      <c r="H18">
        <v>232</v>
      </c>
      <c r="I18">
        <v>21</v>
      </c>
      <c r="J18">
        <v>18</v>
      </c>
      <c r="K18">
        <v>32</v>
      </c>
      <c r="L18">
        <v>46</v>
      </c>
      <c r="M18">
        <v>47</v>
      </c>
      <c r="N18">
        <v>64</v>
      </c>
    </row>
    <row r="19" spans="2:14" x14ac:dyDescent="0.3">
      <c r="B19" t="s">
        <v>101</v>
      </c>
      <c r="C19">
        <v>0</v>
      </c>
      <c r="D19">
        <v>-160</v>
      </c>
      <c r="E19">
        <v>0</v>
      </c>
      <c r="F19">
        <v>-107</v>
      </c>
      <c r="G19">
        <v>-4</v>
      </c>
      <c r="H19">
        <v>-9</v>
      </c>
      <c r="I19">
        <v>-606</v>
      </c>
      <c r="J19">
        <v>-10</v>
      </c>
      <c r="K19">
        <v>0</v>
      </c>
      <c r="L19">
        <v>0</v>
      </c>
      <c r="M19">
        <v>-150</v>
      </c>
      <c r="N19">
        <v>0</v>
      </c>
    </row>
    <row r="20" spans="2:14" x14ac:dyDescent="0.3">
      <c r="B20" t="s">
        <v>102</v>
      </c>
      <c r="C20">
        <v>0</v>
      </c>
      <c r="D20">
        <v>0</v>
      </c>
      <c r="E20">
        <v>0</v>
      </c>
      <c r="F20">
        <v>0</v>
      </c>
      <c r="G20">
        <v>14</v>
      </c>
      <c r="H20">
        <v>533</v>
      </c>
      <c r="I20">
        <v>0</v>
      </c>
      <c r="J20">
        <v>0</v>
      </c>
      <c r="K20">
        <v>0</v>
      </c>
      <c r="L20">
        <v>19</v>
      </c>
      <c r="M20">
        <v>107</v>
      </c>
      <c r="N20">
        <v>765</v>
      </c>
    </row>
    <row r="21" spans="2:14" x14ac:dyDescent="0.3">
      <c r="B21" t="s">
        <v>103</v>
      </c>
      <c r="C21">
        <v>-185</v>
      </c>
      <c r="D21">
        <v>0</v>
      </c>
      <c r="E21">
        <v>-111</v>
      </c>
      <c r="F21">
        <v>0</v>
      </c>
      <c r="G21">
        <v>0</v>
      </c>
      <c r="H21">
        <v>-8</v>
      </c>
      <c r="I21">
        <v>-27</v>
      </c>
      <c r="J21">
        <v>0</v>
      </c>
      <c r="K21">
        <v>-98</v>
      </c>
      <c r="L21">
        <v>0</v>
      </c>
      <c r="M21">
        <v>0</v>
      </c>
      <c r="N21">
        <v>-688</v>
      </c>
    </row>
    <row r="22" spans="2:14" x14ac:dyDescent="0.3">
      <c r="B22" t="s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-25</v>
      </c>
      <c r="N22">
        <v>-20</v>
      </c>
    </row>
    <row r="23" spans="2:14" x14ac:dyDescent="0.3">
      <c r="B23" t="s">
        <v>105</v>
      </c>
      <c r="C23" s="26">
        <v>-1149</v>
      </c>
      <c r="D23">
        <v>456</v>
      </c>
      <c r="E23" s="26">
        <v>-1289</v>
      </c>
      <c r="F23" s="26">
        <v>-26663</v>
      </c>
      <c r="G23" s="26">
        <v>5360</v>
      </c>
      <c r="H23" s="26">
        <v>7335</v>
      </c>
      <c r="I23" s="26">
        <v>-2659</v>
      </c>
      <c r="J23" s="26">
        <v>1051</v>
      </c>
      <c r="K23" s="26">
        <v>12813</v>
      </c>
      <c r="L23" s="26">
        <v>-4357</v>
      </c>
      <c r="M23" s="26">
        <v>-4817</v>
      </c>
      <c r="N23" s="26">
        <v>-2889</v>
      </c>
    </row>
    <row r="24" spans="2:14" x14ac:dyDescent="0.3">
      <c r="B24" t="s">
        <v>106</v>
      </c>
      <c r="C24" s="26">
        <v>-3883</v>
      </c>
      <c r="D24" s="26">
        <v>5201</v>
      </c>
      <c r="E24" s="26">
        <v>-3795</v>
      </c>
      <c r="F24" s="26">
        <v>6205</v>
      </c>
      <c r="G24" s="26">
        <v>2012</v>
      </c>
      <c r="H24" s="26">
        <v>8830</v>
      </c>
      <c r="I24" s="26">
        <v>3390</v>
      </c>
      <c r="J24" s="26">
        <v>9904</v>
      </c>
      <c r="K24" s="26">
        <v>-3380</v>
      </c>
      <c r="L24" s="26">
        <v>-26243</v>
      </c>
      <c r="M24" s="26">
        <v>-37006</v>
      </c>
      <c r="N24" s="26">
        <v>-18786</v>
      </c>
    </row>
    <row r="25" spans="2:14" x14ac:dyDescent="0.3">
      <c r="B25" t="s">
        <v>107</v>
      </c>
      <c r="C25">
        <v>0</v>
      </c>
      <c r="D25">
        <v>0</v>
      </c>
      <c r="E25" s="26">
        <v>7433</v>
      </c>
      <c r="F25">
        <v>5</v>
      </c>
      <c r="G25">
        <v>0</v>
      </c>
      <c r="H25">
        <v>0</v>
      </c>
      <c r="I25" s="26">
        <v>3889</v>
      </c>
      <c r="J25" s="26">
        <v>2603</v>
      </c>
      <c r="K25">
        <v>19</v>
      </c>
      <c r="L25">
        <v>20</v>
      </c>
      <c r="M25">
        <v>82</v>
      </c>
      <c r="N25" s="26">
        <v>1108</v>
      </c>
    </row>
    <row r="26" spans="2:14" x14ac:dyDescent="0.3">
      <c r="B26" t="s">
        <v>108</v>
      </c>
      <c r="C26">
        <v>-658</v>
      </c>
      <c r="D26">
        <v>-744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2:14" x14ac:dyDescent="0.3">
      <c r="B27" t="s">
        <v>109</v>
      </c>
      <c r="C27" s="26">
        <v>33258</v>
      </c>
      <c r="D27" s="26">
        <v>36363</v>
      </c>
      <c r="E27" s="26">
        <v>19519</v>
      </c>
      <c r="F27" s="26">
        <v>33390</v>
      </c>
      <c r="G27" s="26">
        <v>37482</v>
      </c>
      <c r="H27" s="26">
        <v>51128</v>
      </c>
      <c r="I27" s="26">
        <v>38297</v>
      </c>
      <c r="J27" s="26">
        <v>46641</v>
      </c>
      <c r="K27" s="26">
        <v>46578</v>
      </c>
      <c r="L27" s="26">
        <v>43934</v>
      </c>
      <c r="M27" s="26">
        <v>18829</v>
      </c>
      <c r="N27" s="26">
        <v>13384</v>
      </c>
    </row>
    <row r="28" spans="2:14" x14ac:dyDescent="0.3">
      <c r="B28" t="s">
        <v>110</v>
      </c>
      <c r="C28" s="26">
        <v>-29141</v>
      </c>
      <c r="D28" s="26">
        <v>-23332</v>
      </c>
      <c r="E28" s="26">
        <v>-24924</v>
      </c>
      <c r="F28" s="26">
        <v>-21732</v>
      </c>
      <c r="G28" s="26">
        <v>-29964</v>
      </c>
      <c r="H28" s="26">
        <v>-35198</v>
      </c>
      <c r="I28" s="26">
        <v>-29847</v>
      </c>
      <c r="J28" s="26">
        <v>-29709</v>
      </c>
      <c r="K28" s="26">
        <v>-42816</v>
      </c>
      <c r="L28" s="26">
        <v>-62557</v>
      </c>
      <c r="M28" s="26">
        <v>-47414</v>
      </c>
      <c r="N28" s="26">
        <v>-21443</v>
      </c>
    </row>
    <row r="29" spans="2:14" x14ac:dyDescent="0.3">
      <c r="B29" t="s">
        <v>111</v>
      </c>
      <c r="C29" s="26">
        <v>-6171</v>
      </c>
      <c r="D29" s="26">
        <v>-6307</v>
      </c>
      <c r="E29" s="26">
        <v>-5716</v>
      </c>
      <c r="F29" s="26">
        <v>-5336</v>
      </c>
      <c r="G29" s="26">
        <v>-5411</v>
      </c>
      <c r="H29" s="26">
        <v>-7005</v>
      </c>
      <c r="I29" s="26">
        <v>-7518</v>
      </c>
      <c r="J29" s="26">
        <v>-8123</v>
      </c>
      <c r="K29" s="26">
        <v>-9251</v>
      </c>
      <c r="L29" s="26">
        <v>-9336</v>
      </c>
      <c r="M29" s="26">
        <v>-9332</v>
      </c>
      <c r="N29" s="26">
        <v>-5814</v>
      </c>
    </row>
    <row r="30" spans="2:14" x14ac:dyDescent="0.3">
      <c r="B30" t="s">
        <v>112</v>
      </c>
      <c r="C30">
        <v>-722</v>
      </c>
      <c r="D30">
        <v>-720</v>
      </c>
      <c r="E30">
        <v>-108</v>
      </c>
      <c r="F30">
        <v>-121</v>
      </c>
      <c r="G30">
        <v>-96</v>
      </c>
      <c r="H30">
        <v>-95</v>
      </c>
      <c r="I30">
        <v>-57</v>
      </c>
      <c r="J30">
        <v>-30</v>
      </c>
      <c r="K30">
        <v>-100</v>
      </c>
      <c r="L30">
        <v>-141</v>
      </c>
      <c r="M30" s="26">
        <v>-1059</v>
      </c>
      <c r="N30" s="26">
        <v>-2492</v>
      </c>
    </row>
    <row r="31" spans="2:14" x14ac:dyDescent="0.3">
      <c r="B31" t="s">
        <v>113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26">
        <v>-1346</v>
      </c>
      <c r="J31" s="26">
        <v>-1477</v>
      </c>
      <c r="K31" s="26">
        <v>-1559</v>
      </c>
      <c r="L31" s="26">
        <v>-1517</v>
      </c>
      <c r="M31" s="26">
        <v>-1924</v>
      </c>
      <c r="N31" s="26">
        <v>-2393</v>
      </c>
    </row>
    <row r="32" spans="2:14" x14ac:dyDescent="0.3">
      <c r="B32" t="s">
        <v>114</v>
      </c>
      <c r="C32">
        <v>-450</v>
      </c>
      <c r="D32">
        <v>-57</v>
      </c>
      <c r="E32">
        <v>0</v>
      </c>
      <c r="F32">
        <v>0</v>
      </c>
      <c r="G32">
        <v>0</v>
      </c>
      <c r="H32">
        <v>0</v>
      </c>
      <c r="I32">
        <v>-29</v>
      </c>
      <c r="J32">
        <v>0</v>
      </c>
      <c r="K32" s="26">
        <v>3750</v>
      </c>
      <c r="L32" s="26">
        <v>3355</v>
      </c>
      <c r="M32" s="26">
        <v>3812</v>
      </c>
      <c r="N32" s="26">
        <v>-1136</v>
      </c>
    </row>
    <row r="33" spans="2:14" x14ac:dyDescent="0.3">
      <c r="B33" t="s">
        <v>50</v>
      </c>
      <c r="C33" s="26">
        <v>4277</v>
      </c>
      <c r="D33" s="26">
        <v>4500</v>
      </c>
      <c r="E33" s="26">
        <v>-2589</v>
      </c>
      <c r="F33" s="26">
        <v>-3167</v>
      </c>
      <c r="G33">
        <v>730</v>
      </c>
      <c r="H33" s="26">
        <v>6843</v>
      </c>
      <c r="I33" s="26">
        <v>-3092</v>
      </c>
      <c r="J33" s="26">
        <v>13232</v>
      </c>
      <c r="K33" s="26">
        <v>6459</v>
      </c>
      <c r="L33" s="26">
        <v>-6272</v>
      </c>
      <c r="M33" s="26">
        <v>8128</v>
      </c>
      <c r="N33" s="26">
        <v>-5666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CDFA-CCDD-411D-BE65-9A9CAC9762D0}">
  <dimension ref="A2:M105"/>
  <sheetViews>
    <sheetView showGridLines="0" tabSelected="1" zoomScale="122" zoomScaleNormal="122" workbookViewId="0">
      <pane ySplit="3" topLeftCell="A4" activePane="bottomLeft" state="frozen"/>
      <selection pane="bottomLeft" activeCell="M10" sqref="M10"/>
    </sheetView>
  </sheetViews>
  <sheetFormatPr defaultRowHeight="14.4" x14ac:dyDescent="0.3"/>
  <cols>
    <col min="1" max="1" width="1.88671875" customWidth="1"/>
    <col min="2" max="2" width="26.88671875" bestFit="1" customWidth="1"/>
    <col min="3" max="3" width="16.109375" bestFit="1" customWidth="1"/>
    <col min="4" max="11" width="12.109375" bestFit="1" customWidth="1"/>
    <col min="12" max="13" width="11.44140625" bestFit="1" customWidth="1"/>
  </cols>
  <sheetData>
    <row r="2" spans="1:13" x14ac:dyDescent="0.3">
      <c r="B2" s="156" t="str">
        <f>"Historical Financial Statement - "&amp;'Data Sheet'!B1</f>
        <v>Historical Financial Statement - ASIAN PAINTS LTD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</row>
    <row r="3" spans="1:13" x14ac:dyDescent="0.3">
      <c r="B3" s="157" t="s">
        <v>54</v>
      </c>
      <c r="C3" s="158">
        <f>'Data Sheet'!B16</f>
        <v>42460</v>
      </c>
      <c r="D3" s="158">
        <f>'Data Sheet'!C16</f>
        <v>42825</v>
      </c>
      <c r="E3" s="158">
        <f>'Data Sheet'!D16</f>
        <v>43190</v>
      </c>
      <c r="F3" s="158">
        <f>'Data Sheet'!E16</f>
        <v>43555</v>
      </c>
      <c r="G3" s="158">
        <f>'Data Sheet'!F16</f>
        <v>43921</v>
      </c>
      <c r="H3" s="158">
        <f>'Data Sheet'!G16</f>
        <v>44286</v>
      </c>
      <c r="I3" s="158">
        <f>'Data Sheet'!H16</f>
        <v>44651</v>
      </c>
      <c r="J3" s="158">
        <f>'Data Sheet'!I16</f>
        <v>45016</v>
      </c>
      <c r="K3" s="158">
        <f>'Data Sheet'!J16</f>
        <v>45382</v>
      </c>
      <c r="L3" s="158">
        <f>'Data Sheet'!K16</f>
        <v>45747</v>
      </c>
      <c r="M3" s="19"/>
    </row>
    <row r="4" spans="1:13" s="16" customForma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</row>
    <row r="5" spans="1:13" x14ac:dyDescent="0.3">
      <c r="A5" t="s">
        <v>55</v>
      </c>
      <c r="B5" s="14" t="s">
        <v>56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1:13" x14ac:dyDescent="0.3">
      <c r="B6" t="s">
        <v>12</v>
      </c>
      <c r="C6" s="10">
        <f>IFERROR('Data Sheet'!B17,0)</f>
        <v>14271.49</v>
      </c>
      <c r="D6" s="10">
        <f>IFERROR('Data Sheet'!C17,0)</f>
        <v>15061.99</v>
      </c>
      <c r="E6" s="10">
        <f>IFERROR('Data Sheet'!D17,0)</f>
        <v>16824.55</v>
      </c>
      <c r="F6" s="10">
        <f>IFERROR('Data Sheet'!E17,0)</f>
        <v>19240.13</v>
      </c>
      <c r="G6" s="10">
        <f>IFERROR('Data Sheet'!F17,0)</f>
        <v>20211.25</v>
      </c>
      <c r="H6" s="10">
        <f>IFERROR('Data Sheet'!G17,0)</f>
        <v>21712.79</v>
      </c>
      <c r="I6" s="10">
        <f>IFERROR('Data Sheet'!H17,0)</f>
        <v>29101.279999999999</v>
      </c>
      <c r="J6" s="10">
        <f>IFERROR('Data Sheet'!I17,0)</f>
        <v>34488.589999999997</v>
      </c>
      <c r="K6" s="10">
        <f>IFERROR('Data Sheet'!J17,0)</f>
        <v>35494.730000000003</v>
      </c>
      <c r="L6" s="10">
        <f>IFERROR('Data Sheet'!K17,0)</f>
        <v>33905.620000000003</v>
      </c>
      <c r="M6" s="10"/>
    </row>
    <row r="7" spans="1:13" x14ac:dyDescent="0.3">
      <c r="B7" s="11" t="s">
        <v>57</v>
      </c>
      <c r="C7" s="12" t="s">
        <v>58</v>
      </c>
      <c r="D7" s="13">
        <f>D6/C6-1</f>
        <v>5.5390151974320734E-2</v>
      </c>
      <c r="E7" s="13">
        <f t="shared" ref="E7:L7" si="0">E6/D6-1</f>
        <v>0.11702039371955486</v>
      </c>
      <c r="F7" s="13">
        <f t="shared" si="0"/>
        <v>0.14357471670861943</v>
      </c>
      <c r="G7" s="13">
        <f t="shared" si="0"/>
        <v>5.0473671435691925E-2</v>
      </c>
      <c r="H7" s="13">
        <f t="shared" si="0"/>
        <v>7.4292287711052118E-2</v>
      </c>
      <c r="I7" s="13">
        <f t="shared" si="0"/>
        <v>0.34028284711453471</v>
      </c>
      <c r="J7" s="13">
        <f t="shared" si="0"/>
        <v>0.18512278497715551</v>
      </c>
      <c r="K7" s="13">
        <f t="shared" si="0"/>
        <v>2.9173126532572313E-2</v>
      </c>
      <c r="L7" s="13">
        <f t="shared" si="0"/>
        <v>-4.4770308155605121E-2</v>
      </c>
      <c r="M7" s="13"/>
    </row>
    <row r="9" spans="1:13" x14ac:dyDescent="0.3">
      <c r="B9" t="s">
        <v>59</v>
      </c>
      <c r="C9" s="10">
        <f>IFERROR(SUM('Data Sheet'!B18,'Data Sheet'!B20:B22)-1*'Data Sheet'!B19,0)</f>
        <v>9413.8399999999983</v>
      </c>
      <c r="D9" s="10">
        <f>IFERROR(SUM('Data Sheet'!C18,'Data Sheet'!C20:C22)-1*'Data Sheet'!C19,0)</f>
        <v>9732.66</v>
      </c>
      <c r="E9" s="10">
        <f>IFERROR(SUM('Data Sheet'!D18,'Data Sheet'!D20:D22)-1*'Data Sheet'!D19,0)</f>
        <v>11194.169999999998</v>
      </c>
      <c r="F9" s="10">
        <f>IFERROR(SUM('Data Sheet'!E18,'Data Sheet'!E20:E22)-1*'Data Sheet'!E19,0)</f>
        <v>12905.81</v>
      </c>
      <c r="G9" s="10">
        <f>IFERROR(SUM('Data Sheet'!F18,'Data Sheet'!F20:F22)-1*'Data Sheet'!F19,0)</f>
        <v>13158.020000000002</v>
      </c>
      <c r="H9" s="10">
        <f>IFERROR(SUM('Data Sheet'!G18,'Data Sheet'!G20:G22)-1*'Data Sheet'!G19,0)</f>
        <v>14035.069999999998</v>
      </c>
      <c r="I9" s="10">
        <f>IFERROR(SUM('Data Sheet'!H18,'Data Sheet'!H20:H22)-1*'Data Sheet'!H19,0)</f>
        <v>20590.57</v>
      </c>
      <c r="J9" s="10">
        <f>IFERROR(SUM('Data Sheet'!I18,'Data Sheet'!I20:I22)-1*'Data Sheet'!I19,0)</f>
        <v>23766.7</v>
      </c>
      <c r="K9" s="10">
        <f>IFERROR(SUM('Data Sheet'!J18,'Data Sheet'!J20:J22)-1*'Data Sheet'!J19,0)</f>
        <v>23009.99</v>
      </c>
      <c r="L9" s="10">
        <f>IFERROR(SUM('Data Sheet'!K18,'Data Sheet'!K20:K22)-1*'Data Sheet'!K19,0)</f>
        <v>22741.27</v>
      </c>
      <c r="M9" s="10"/>
    </row>
    <row r="10" spans="1:13" x14ac:dyDescent="0.3">
      <c r="B10" s="11" t="s">
        <v>60</v>
      </c>
      <c r="C10" s="13">
        <f>C9/C6</f>
        <v>0.65962558919916547</v>
      </c>
      <c r="D10" s="13">
        <f t="shared" ref="D10:L10" si="1">D9/D6</f>
        <v>0.64617357998511482</v>
      </c>
      <c r="E10" s="13">
        <f t="shared" si="1"/>
        <v>0.66534736441687881</v>
      </c>
      <c r="F10" s="13">
        <f t="shared" si="1"/>
        <v>0.67077561326248825</v>
      </c>
      <c r="G10" s="13">
        <f t="shared" si="1"/>
        <v>0.65102455315727636</v>
      </c>
      <c r="H10" s="13">
        <f t="shared" si="1"/>
        <v>0.64639643270164715</v>
      </c>
      <c r="I10" s="13">
        <f t="shared" si="1"/>
        <v>0.70754860267314701</v>
      </c>
      <c r="J10" s="13">
        <f t="shared" si="1"/>
        <v>0.68911776329504926</v>
      </c>
      <c r="K10" s="13">
        <f t="shared" si="1"/>
        <v>0.64826496778535858</v>
      </c>
      <c r="L10" s="13">
        <f t="shared" si="1"/>
        <v>0.67072272974214886</v>
      </c>
      <c r="M10" s="13"/>
    </row>
    <row r="12" spans="1:13" x14ac:dyDescent="0.3">
      <c r="B12" s="29" t="s">
        <v>61</v>
      </c>
      <c r="C12" s="30">
        <f>C6-C9</f>
        <v>4857.6500000000015</v>
      </c>
      <c r="D12" s="30">
        <f t="shared" ref="D12:L12" si="2">D6-D9</f>
        <v>5329.33</v>
      </c>
      <c r="E12" s="30">
        <f t="shared" si="2"/>
        <v>5630.380000000001</v>
      </c>
      <c r="F12" s="30">
        <f t="shared" si="2"/>
        <v>6334.3200000000015</v>
      </c>
      <c r="G12" s="30">
        <f t="shared" si="2"/>
        <v>7053.2299999999977</v>
      </c>
      <c r="H12" s="30">
        <f t="shared" si="2"/>
        <v>7677.720000000003</v>
      </c>
      <c r="I12" s="30">
        <f t="shared" si="2"/>
        <v>8510.7099999999991</v>
      </c>
      <c r="J12" s="30">
        <f t="shared" si="2"/>
        <v>10721.889999999996</v>
      </c>
      <c r="K12" s="30">
        <f t="shared" si="2"/>
        <v>12484.740000000002</v>
      </c>
      <c r="L12" s="30">
        <f t="shared" si="2"/>
        <v>11164.350000000002</v>
      </c>
      <c r="M12" s="145"/>
    </row>
    <row r="13" spans="1:13" x14ac:dyDescent="0.3">
      <c r="B13" s="11" t="s">
        <v>71</v>
      </c>
      <c r="C13" s="13">
        <f>C12/C6</f>
        <v>0.34037441080083447</v>
      </c>
      <c r="D13" s="13">
        <f t="shared" ref="D13:L13" si="3">D12/D6</f>
        <v>0.35382642001488518</v>
      </c>
      <c r="E13" s="13">
        <f t="shared" si="3"/>
        <v>0.33465263558312119</v>
      </c>
      <c r="F13" s="13">
        <f t="shared" si="3"/>
        <v>0.3292243867375117</v>
      </c>
      <c r="G13" s="13">
        <f t="shared" si="3"/>
        <v>0.34897544684272364</v>
      </c>
      <c r="H13" s="13">
        <f t="shared" si="3"/>
        <v>0.35360356729835285</v>
      </c>
      <c r="I13" s="13">
        <f t="shared" si="3"/>
        <v>0.29245139732685294</v>
      </c>
      <c r="J13" s="13">
        <f t="shared" si="3"/>
        <v>0.31088223670495074</v>
      </c>
      <c r="K13" s="13">
        <f t="shared" si="3"/>
        <v>0.35173503221464147</v>
      </c>
      <c r="L13" s="13">
        <f t="shared" si="3"/>
        <v>0.32927727025785108</v>
      </c>
      <c r="M13" s="146"/>
    </row>
    <row r="15" spans="1:13" x14ac:dyDescent="0.3">
      <c r="B15" t="s">
        <v>62</v>
      </c>
      <c r="C15" s="10">
        <f>IFERROR(SUM('Data Sheet'!B23:B24),0)</f>
        <v>2132.61</v>
      </c>
      <c r="D15" s="10">
        <f>IFERROR(SUM('Data Sheet'!C23:C24),0)</f>
        <v>2335.5699999999997</v>
      </c>
      <c r="E15" s="10">
        <f>IFERROR(SUM('Data Sheet'!D23:D24),0)</f>
        <v>2426.37</v>
      </c>
      <c r="F15" s="10">
        <f>IFERROR(SUM('Data Sheet'!E23:E24),0)</f>
        <v>2569.38</v>
      </c>
      <c r="G15" s="10">
        <f>IFERROR(SUM('Data Sheet'!F23:F24),0)</f>
        <v>2896.4100000000003</v>
      </c>
      <c r="H15" s="10">
        <f>IFERROR(SUM('Data Sheet'!G23:G24),0)</f>
        <v>2822.12</v>
      </c>
      <c r="I15" s="10">
        <f>IFERROR(SUM('Data Sheet'!H23:H24),0)</f>
        <v>3707.1</v>
      </c>
      <c r="J15" s="10">
        <f>IFERROR(SUM('Data Sheet'!I23:I24),0)</f>
        <v>4462.05</v>
      </c>
      <c r="K15" s="10">
        <f>IFERROR(SUM('Data Sheet'!J23:J24),0)</f>
        <v>4899.76</v>
      </c>
      <c r="L15" s="10">
        <f>IFERROR(SUM('Data Sheet'!K23:K24),0)</f>
        <v>5158.1400000000003</v>
      </c>
      <c r="M15" s="10"/>
    </row>
    <row r="16" spans="1:13" x14ac:dyDescent="0.3">
      <c r="B16" s="11" t="s">
        <v>63</v>
      </c>
      <c r="C16" s="13">
        <f>C15/C6</f>
        <v>0.14943148893353111</v>
      </c>
      <c r="D16" s="13">
        <f t="shared" ref="D16:L16" si="4">D15/D6</f>
        <v>0.15506383950593511</v>
      </c>
      <c r="E16" s="13">
        <f t="shared" si="4"/>
        <v>0.14421604143944414</v>
      </c>
      <c r="F16" s="13">
        <f t="shared" si="4"/>
        <v>0.13354275672773522</v>
      </c>
      <c r="G16" s="13">
        <f t="shared" si="4"/>
        <v>0.14330682169583772</v>
      </c>
      <c r="H16" s="13">
        <f t="shared" si="4"/>
        <v>0.12997500551518251</v>
      </c>
      <c r="I16" s="13">
        <f t="shared" si="4"/>
        <v>0.1273861493377611</v>
      </c>
      <c r="J16" s="13">
        <f t="shared" si="4"/>
        <v>0.12937757095897515</v>
      </c>
      <c r="K16" s="13">
        <f t="shared" si="4"/>
        <v>0.1380419008681007</v>
      </c>
      <c r="L16" s="13">
        <f t="shared" si="4"/>
        <v>0.15213230137068723</v>
      </c>
      <c r="M16" s="146"/>
    </row>
    <row r="18" spans="2:13" x14ac:dyDescent="0.3">
      <c r="B18" s="29" t="s">
        <v>64</v>
      </c>
      <c r="C18" s="30">
        <f>C12-C15</f>
        <v>2725.0400000000013</v>
      </c>
      <c r="D18" s="30">
        <f t="shared" ref="D18:L18" si="5">D12-D15</f>
        <v>2993.76</v>
      </c>
      <c r="E18" s="30">
        <f t="shared" si="5"/>
        <v>3204.0100000000011</v>
      </c>
      <c r="F18" s="30">
        <f t="shared" si="5"/>
        <v>3764.9400000000014</v>
      </c>
      <c r="G18" s="30">
        <f t="shared" si="5"/>
        <v>4156.8199999999979</v>
      </c>
      <c r="H18" s="30">
        <f t="shared" si="5"/>
        <v>4855.6000000000031</v>
      </c>
      <c r="I18" s="30">
        <f t="shared" si="5"/>
        <v>4803.6099999999988</v>
      </c>
      <c r="J18" s="30">
        <f t="shared" si="5"/>
        <v>6259.8399999999956</v>
      </c>
      <c r="K18" s="30">
        <f t="shared" si="5"/>
        <v>7584.9800000000014</v>
      </c>
      <c r="L18" s="30">
        <f t="shared" si="5"/>
        <v>6006.2100000000019</v>
      </c>
      <c r="M18" s="145"/>
    </row>
    <row r="19" spans="2:13" x14ac:dyDescent="0.3">
      <c r="B19" s="11" t="s">
        <v>65</v>
      </c>
      <c r="C19" s="13">
        <f>C18/C6</f>
        <v>0.19094292186730338</v>
      </c>
      <c r="D19" s="13">
        <f t="shared" ref="D19:L19" si="6">D18/D6</f>
        <v>0.19876258050895004</v>
      </c>
      <c r="E19" s="13">
        <f t="shared" si="6"/>
        <v>0.19043659414367703</v>
      </c>
      <c r="F19" s="13">
        <f t="shared" si="6"/>
        <v>0.19568163000977651</v>
      </c>
      <c r="G19" s="13">
        <f t="shared" si="6"/>
        <v>0.20566862514688591</v>
      </c>
      <c r="H19" s="13">
        <f t="shared" si="6"/>
        <v>0.22362856178317034</v>
      </c>
      <c r="I19" s="13">
        <f t="shared" si="6"/>
        <v>0.16506524798909186</v>
      </c>
      <c r="J19" s="13">
        <f t="shared" si="6"/>
        <v>0.1815046657459756</v>
      </c>
      <c r="K19" s="13">
        <f t="shared" si="6"/>
        <v>0.21369313134654075</v>
      </c>
      <c r="L19" s="13">
        <f t="shared" si="6"/>
        <v>0.17714496888716388</v>
      </c>
      <c r="M19" s="146"/>
    </row>
    <row r="21" spans="2:13" x14ac:dyDescent="0.3">
      <c r="B21" t="s">
        <v>22</v>
      </c>
      <c r="C21" s="10">
        <f>IFERROR('Data Sheet'!B27,0)</f>
        <v>49</v>
      </c>
      <c r="D21" s="10">
        <f>IFERROR('Data Sheet'!C27,0)</f>
        <v>37.33</v>
      </c>
      <c r="E21" s="10">
        <f>IFERROR('Data Sheet'!D27,0)</f>
        <v>41.47</v>
      </c>
      <c r="F21" s="10">
        <f>IFERROR('Data Sheet'!E27,0)</f>
        <v>110.47</v>
      </c>
      <c r="G21" s="10">
        <f>IFERROR('Data Sheet'!F27,0)</f>
        <v>102.33</v>
      </c>
      <c r="H21" s="10">
        <f>IFERROR('Data Sheet'!G27,0)</f>
        <v>91.63</v>
      </c>
      <c r="I21" s="10">
        <f>IFERROR('Data Sheet'!H27,0)</f>
        <v>95.41</v>
      </c>
      <c r="J21" s="10">
        <f>IFERROR('Data Sheet'!I27,0)</f>
        <v>144.44999999999999</v>
      </c>
      <c r="K21" s="10">
        <f>IFERROR('Data Sheet'!J27,0)</f>
        <v>205.17</v>
      </c>
      <c r="L21" s="10">
        <f>IFERROR('Data Sheet'!K27,0)</f>
        <v>227.02</v>
      </c>
      <c r="M21" s="10"/>
    </row>
    <row r="22" spans="2:13" x14ac:dyDescent="0.3">
      <c r="B22" s="11" t="s">
        <v>66</v>
      </c>
      <c r="C22" s="13">
        <f>C21/C6</f>
        <v>3.4334186549547386E-3</v>
      </c>
      <c r="D22" s="13">
        <f t="shared" ref="D22:L22" si="7">D21/D6</f>
        <v>2.4784241657310885E-3</v>
      </c>
      <c r="E22" s="13">
        <f t="shared" si="7"/>
        <v>2.4648504714836358E-3</v>
      </c>
      <c r="F22" s="13">
        <f t="shared" si="7"/>
        <v>5.7416451967840128E-3</v>
      </c>
      <c r="G22" s="13">
        <f t="shared" si="7"/>
        <v>5.0630218319005502E-3</v>
      </c>
      <c r="H22" s="13">
        <f t="shared" si="7"/>
        <v>4.2200933182700148E-3</v>
      </c>
      <c r="I22" s="13">
        <f t="shared" si="7"/>
        <v>3.2785499469439143E-3</v>
      </c>
      <c r="J22" s="13">
        <f t="shared" si="7"/>
        <v>4.1883417095335005E-3</v>
      </c>
      <c r="K22" s="13">
        <f t="shared" si="7"/>
        <v>5.7802947085384216E-3</v>
      </c>
      <c r="L22" s="13">
        <f t="shared" si="7"/>
        <v>6.6956451467337858E-3</v>
      </c>
      <c r="M22" s="146"/>
    </row>
    <row r="24" spans="2:13" x14ac:dyDescent="0.3">
      <c r="B24" t="s">
        <v>67</v>
      </c>
      <c r="C24" s="10">
        <f>IFERROR('Data Sheet'!B26,0)</f>
        <v>275.58</v>
      </c>
      <c r="D24" s="10">
        <f>IFERROR('Data Sheet'!C26,0)</f>
        <v>334.79</v>
      </c>
      <c r="E24" s="10">
        <f>IFERROR('Data Sheet'!D26,0)</f>
        <v>360.47</v>
      </c>
      <c r="F24" s="10">
        <f>IFERROR('Data Sheet'!E26,0)</f>
        <v>622.14</v>
      </c>
      <c r="G24" s="10">
        <f>IFERROR('Data Sheet'!F26,0)</f>
        <v>780.5</v>
      </c>
      <c r="H24" s="10">
        <f>IFERROR('Data Sheet'!G26,0)</f>
        <v>791.27</v>
      </c>
      <c r="I24" s="10">
        <f>IFERROR('Data Sheet'!H26,0)</f>
        <v>816.36</v>
      </c>
      <c r="J24" s="10">
        <f>IFERROR('Data Sheet'!I26,0)</f>
        <v>858.02</v>
      </c>
      <c r="K24" s="10">
        <f>IFERROR('Data Sheet'!J26,0)</f>
        <v>853</v>
      </c>
      <c r="L24" s="10">
        <f>IFERROR('Data Sheet'!K26,0)</f>
        <v>1026.3399999999999</v>
      </c>
      <c r="M24" s="10"/>
    </row>
    <row r="25" spans="2:13" x14ac:dyDescent="0.3">
      <c r="B25" s="11" t="s">
        <v>68</v>
      </c>
      <c r="C25" s="13">
        <f>C24/C6</f>
        <v>1.9309826794539322E-2</v>
      </c>
      <c r="D25" s="13">
        <f t="shared" ref="D25:L25" si="8">D24/D6</f>
        <v>2.2227474590011016E-2</v>
      </c>
      <c r="E25" s="13">
        <f t="shared" si="8"/>
        <v>2.1425238713665449E-2</v>
      </c>
      <c r="F25" s="13">
        <f t="shared" si="8"/>
        <v>3.2335540352378074E-2</v>
      </c>
      <c r="G25" s="13">
        <f t="shared" si="8"/>
        <v>3.8617106809326486E-2</v>
      </c>
      <c r="H25" s="13">
        <f t="shared" si="8"/>
        <v>3.6442576011650275E-2</v>
      </c>
      <c r="I25" s="13">
        <f t="shared" si="8"/>
        <v>2.8052374328551871E-2</v>
      </c>
      <c r="J25" s="13">
        <f t="shared" si="8"/>
        <v>2.4878372818372688E-2</v>
      </c>
      <c r="K25" s="13">
        <f t="shared" si="8"/>
        <v>2.4031736542297968E-2</v>
      </c>
      <c r="L25" s="13">
        <f t="shared" si="8"/>
        <v>3.0270497929251843E-2</v>
      </c>
      <c r="M25" s="146"/>
    </row>
    <row r="27" spans="2:13" x14ac:dyDescent="0.3">
      <c r="B27" s="29" t="s">
        <v>69</v>
      </c>
      <c r="C27" s="31">
        <f>IFERROR(C18-SUM(C21,C24),0)</f>
        <v>2400.4600000000014</v>
      </c>
      <c r="D27" s="31">
        <f t="shared" ref="D27:L27" si="9">IFERROR(D18-SUM(D21,D24),0)</f>
        <v>2621.6400000000003</v>
      </c>
      <c r="E27" s="31">
        <f t="shared" si="9"/>
        <v>2802.0700000000011</v>
      </c>
      <c r="F27" s="31">
        <f t="shared" si="9"/>
        <v>3032.3300000000013</v>
      </c>
      <c r="G27" s="31">
        <f t="shared" si="9"/>
        <v>3273.989999999998</v>
      </c>
      <c r="H27" s="31">
        <f t="shared" si="9"/>
        <v>3972.700000000003</v>
      </c>
      <c r="I27" s="31">
        <f t="shared" si="9"/>
        <v>3891.8399999999988</v>
      </c>
      <c r="J27" s="31">
        <f t="shared" si="9"/>
        <v>5257.3699999999953</v>
      </c>
      <c r="K27" s="31">
        <f t="shared" si="9"/>
        <v>6526.8100000000013</v>
      </c>
      <c r="L27" s="31">
        <f t="shared" si="9"/>
        <v>4752.8500000000022</v>
      </c>
      <c r="M27" s="147"/>
    </row>
    <row r="28" spans="2:13" x14ac:dyDescent="0.3">
      <c r="B28" s="11" t="s">
        <v>70</v>
      </c>
      <c r="C28" s="13">
        <f>C27/C6</f>
        <v>0.16819967641780931</v>
      </c>
      <c r="D28" s="13">
        <f t="shared" ref="D28:L28" si="10">D27/D6</f>
        <v>0.17405668175320793</v>
      </c>
      <c r="E28" s="13">
        <f t="shared" si="10"/>
        <v>0.16654650495852794</v>
      </c>
      <c r="F28" s="13">
        <f t="shared" si="10"/>
        <v>0.15760444446061442</v>
      </c>
      <c r="G28" s="13">
        <f t="shared" si="10"/>
        <v>0.16198849650565889</v>
      </c>
      <c r="H28" s="13">
        <f t="shared" si="10"/>
        <v>0.18296589245325004</v>
      </c>
      <c r="I28" s="13">
        <f t="shared" si="10"/>
        <v>0.13373432371359606</v>
      </c>
      <c r="J28" s="13">
        <f t="shared" si="10"/>
        <v>0.15243795121806938</v>
      </c>
      <c r="K28" s="13">
        <f t="shared" si="10"/>
        <v>0.18388110009570438</v>
      </c>
      <c r="L28" s="13">
        <f t="shared" si="10"/>
        <v>0.14017882581117827</v>
      </c>
      <c r="M28" s="146"/>
    </row>
    <row r="30" spans="2:13" x14ac:dyDescent="0.3">
      <c r="B30" t="s">
        <v>24</v>
      </c>
      <c r="C30" s="20">
        <f>IFERROR('Data Sheet'!B29,0)</f>
        <v>844.49</v>
      </c>
      <c r="D30" s="20">
        <f>IFERROR('Data Sheet'!C29,0)</f>
        <v>943.29</v>
      </c>
      <c r="E30" s="20">
        <f>IFERROR('Data Sheet'!D29,0)</f>
        <v>1040.96</v>
      </c>
      <c r="F30" s="20">
        <f>IFERROR('Data Sheet'!E29,0)</f>
        <v>1098.06</v>
      </c>
      <c r="G30" s="20">
        <f>IFERROR('Data Sheet'!F29,0)</f>
        <v>854.85</v>
      </c>
      <c r="H30" s="20">
        <f>IFERROR('Data Sheet'!G29,0)</f>
        <v>1097.5999999999999</v>
      </c>
      <c r="I30" s="20">
        <f>IFERROR('Data Sheet'!H29,0)</f>
        <v>1102.9100000000001</v>
      </c>
      <c r="J30" s="20">
        <f>IFERROR('Data Sheet'!I29,0)</f>
        <v>1493.5</v>
      </c>
      <c r="K30" s="20">
        <f>IFERROR('Data Sheet'!J29,0)</f>
        <v>1790.08</v>
      </c>
      <c r="L30" s="20">
        <f>IFERROR('Data Sheet'!K29,0)</f>
        <v>1393.36</v>
      </c>
      <c r="M30" s="20"/>
    </row>
    <row r="31" spans="2:13" x14ac:dyDescent="0.3">
      <c r="B31" s="11" t="s">
        <v>72</v>
      </c>
      <c r="C31" s="13">
        <f>IFERROR(C30/C27,0)</f>
        <v>0.35180340434749985</v>
      </c>
      <c r="D31" s="13">
        <f t="shared" ref="D31:L31" si="11">IFERROR(D30/D27,0)</f>
        <v>0.35980912711127377</v>
      </c>
      <c r="E31" s="13">
        <f t="shared" si="11"/>
        <v>0.37149678630441052</v>
      </c>
      <c r="F31" s="13">
        <f t="shared" si="11"/>
        <v>0.36211757955103813</v>
      </c>
      <c r="G31" s="13">
        <f t="shared" si="11"/>
        <v>0.26110342426213901</v>
      </c>
      <c r="H31" s="13">
        <f t="shared" si="11"/>
        <v>0.2762856495582347</v>
      </c>
      <c r="I31" s="13">
        <f t="shared" si="11"/>
        <v>0.2833903757605658</v>
      </c>
      <c r="J31" s="13">
        <f t="shared" si="11"/>
        <v>0.28407739991668862</v>
      </c>
      <c r="K31" s="13">
        <f t="shared" si="11"/>
        <v>0.27426568262290452</v>
      </c>
      <c r="L31" s="13">
        <f t="shared" si="11"/>
        <v>0.29316304953869765</v>
      </c>
      <c r="M31" s="146"/>
    </row>
    <row r="33" spans="1:13" x14ac:dyDescent="0.3">
      <c r="B33" s="29" t="s">
        <v>73</v>
      </c>
      <c r="C33" s="31">
        <f>IFERROR(C27-C30,0)</f>
        <v>1555.9700000000014</v>
      </c>
      <c r="D33" s="31">
        <f t="shared" ref="D33:L33" si="12">IFERROR(D27-D30,0)</f>
        <v>1678.3500000000004</v>
      </c>
      <c r="E33" s="31">
        <f t="shared" si="12"/>
        <v>1761.110000000001</v>
      </c>
      <c r="F33" s="31">
        <f t="shared" si="12"/>
        <v>1934.2700000000013</v>
      </c>
      <c r="G33" s="31">
        <f t="shared" si="12"/>
        <v>2419.1399999999981</v>
      </c>
      <c r="H33" s="31">
        <f t="shared" si="12"/>
        <v>2875.1000000000031</v>
      </c>
      <c r="I33" s="31">
        <f t="shared" si="12"/>
        <v>2788.9299999999985</v>
      </c>
      <c r="J33" s="31">
        <f t="shared" si="12"/>
        <v>3763.8699999999953</v>
      </c>
      <c r="K33" s="31">
        <f t="shared" si="12"/>
        <v>4736.7300000000014</v>
      </c>
      <c r="L33" s="31">
        <f t="shared" si="12"/>
        <v>3359.4900000000025</v>
      </c>
      <c r="M33" s="147"/>
    </row>
    <row r="34" spans="1:13" x14ac:dyDescent="0.3">
      <c r="B34" s="11" t="s">
        <v>74</v>
      </c>
      <c r="C34" s="13">
        <f>IFERROR(C33/C6,0)</f>
        <v>0.10902645764387611</v>
      </c>
      <c r="D34" s="13">
        <f t="shared" ref="D34:L34" si="13">IFERROR(D33/D6,0)</f>
        <v>0.1114294990237014</v>
      </c>
      <c r="E34" s="13">
        <f t="shared" si="13"/>
        <v>0.10467501359620324</v>
      </c>
      <c r="F34" s="13">
        <f t="shared" si="13"/>
        <v>0.1005331045060507</v>
      </c>
      <c r="G34" s="13">
        <f t="shared" si="13"/>
        <v>0.1196927453769558</v>
      </c>
      <c r="H34" s="13">
        <f t="shared" si="13"/>
        <v>0.13241504200980173</v>
      </c>
      <c r="I34" s="13">
        <f t="shared" si="13"/>
        <v>9.5835303464314917E-2</v>
      </c>
      <c r="J34" s="13">
        <f t="shared" si="13"/>
        <v>0.10913377438741322</v>
      </c>
      <c r="K34" s="13">
        <f t="shared" si="13"/>
        <v>0.13344882465650537</v>
      </c>
      <c r="L34" s="13">
        <f t="shared" si="13"/>
        <v>9.9083573755619339E-2</v>
      </c>
      <c r="M34" s="146"/>
    </row>
    <row r="36" spans="1:13" x14ac:dyDescent="0.3">
      <c r="B36" t="s">
        <v>43</v>
      </c>
      <c r="C36" s="20">
        <f>IFERROR('Data Sheet'!B93,0)</f>
        <v>95.92</v>
      </c>
      <c r="D36" s="20">
        <f>IFERROR('Data Sheet'!C93,0)</f>
        <v>95.92</v>
      </c>
      <c r="E36" s="20">
        <f>IFERROR('Data Sheet'!D93,0)</f>
        <v>95.92</v>
      </c>
      <c r="F36" s="20">
        <f>IFERROR('Data Sheet'!E93,0)</f>
        <v>95.92</v>
      </c>
      <c r="G36" s="20">
        <f>IFERROR('Data Sheet'!F93,0)</f>
        <v>95.92</v>
      </c>
      <c r="H36" s="20">
        <f>IFERROR('Data Sheet'!G93,0)</f>
        <v>95.92</v>
      </c>
      <c r="I36" s="20">
        <f>IFERROR('Data Sheet'!H93,0)</f>
        <v>95.92</v>
      </c>
      <c r="J36" s="20">
        <f>IFERROR('Data Sheet'!I93,0)</f>
        <v>95.92</v>
      </c>
      <c r="K36" s="20">
        <f>IFERROR('Data Sheet'!J93,0)</f>
        <v>95.92</v>
      </c>
      <c r="L36" s="20">
        <f>IFERROR('Data Sheet'!K93,0)</f>
        <v>95.92</v>
      </c>
      <c r="M36" s="20"/>
    </row>
    <row r="38" spans="1:13" x14ac:dyDescent="0.3">
      <c r="B38" t="s">
        <v>75</v>
      </c>
      <c r="C38" s="20">
        <f>IFERROR(C33/C36,0)</f>
        <v>16.221538782318614</v>
      </c>
      <c r="D38" s="20">
        <f t="shared" ref="D38:L38" si="14">IFERROR(D33/D36,0)</f>
        <v>17.497393661384489</v>
      </c>
      <c r="E38" s="20">
        <f t="shared" si="14"/>
        <v>18.360195996663897</v>
      </c>
      <c r="F38" s="20">
        <f t="shared" si="14"/>
        <v>20.165450375312773</v>
      </c>
      <c r="G38" s="20">
        <f t="shared" si="14"/>
        <v>25.220391993327752</v>
      </c>
      <c r="H38" s="20">
        <f t="shared" si="14"/>
        <v>29.973936613844902</v>
      </c>
      <c r="I38" s="20">
        <f t="shared" si="14"/>
        <v>29.075583819849857</v>
      </c>
      <c r="J38" s="20">
        <f t="shared" si="14"/>
        <v>39.23967889908252</v>
      </c>
      <c r="K38" s="20">
        <f t="shared" si="14"/>
        <v>49.382089241034208</v>
      </c>
      <c r="L38" s="20">
        <f t="shared" si="14"/>
        <v>35.023874061718125</v>
      </c>
      <c r="M38" s="20"/>
    </row>
    <row r="39" spans="1:13" x14ac:dyDescent="0.3">
      <c r="B39" s="11" t="s">
        <v>77</v>
      </c>
      <c r="C39" s="13"/>
      <c r="D39" s="13">
        <f>IFERROR(D38/C38-1,0)</f>
        <v>7.8651902028958443E-2</v>
      </c>
      <c r="E39" s="13">
        <f t="shared" ref="E39:L39" si="15">IFERROR(E38/D38-1,0)</f>
        <v>4.9310334554771629E-2</v>
      </c>
      <c r="F39" s="13">
        <f t="shared" si="15"/>
        <v>9.8324352255111824E-2</v>
      </c>
      <c r="G39" s="13">
        <f t="shared" si="15"/>
        <v>0.25067338065523237</v>
      </c>
      <c r="H39" s="13">
        <f t="shared" si="15"/>
        <v>0.18848020370875829</v>
      </c>
      <c r="I39" s="13">
        <f t="shared" si="15"/>
        <v>-2.9971131438908061E-2</v>
      </c>
      <c r="J39" s="13">
        <f t="shared" si="15"/>
        <v>0.34957492658474676</v>
      </c>
      <c r="K39" s="13">
        <f t="shared" si="15"/>
        <v>0.25847332665581102</v>
      </c>
      <c r="L39" s="13">
        <f t="shared" si="15"/>
        <v>-0.29075754792863395</v>
      </c>
      <c r="M39" s="146"/>
    </row>
    <row r="41" spans="1:13" x14ac:dyDescent="0.3">
      <c r="B41" t="s">
        <v>76</v>
      </c>
      <c r="C41" s="20">
        <f>IFERROR('Data Sheet'!B31/HistoricalFS!C36,0)</f>
        <v>7.5</v>
      </c>
      <c r="D41" s="20">
        <f>IFERROR('Data Sheet'!C31/HistoricalFS!D36,0)</f>
        <v>10.300041701417848</v>
      </c>
      <c r="E41" s="20">
        <f>IFERROR('Data Sheet'!D31/HistoricalFS!E36,0)</f>
        <v>8.6999582985821515</v>
      </c>
      <c r="F41" s="20">
        <f>IFERROR('Data Sheet'!E31/HistoricalFS!F36,0)</f>
        <v>10.5</v>
      </c>
      <c r="G41" s="20">
        <f>IFERROR('Data Sheet'!F31/HistoricalFS!G36,0)</f>
        <v>12</v>
      </c>
      <c r="H41" s="20">
        <f>IFERROR('Data Sheet'!G31/HistoricalFS!H36,0)</f>
        <v>17.849979149291077</v>
      </c>
      <c r="I41" s="20">
        <f>IFERROR('Data Sheet'!H31/HistoricalFS!I36,0)</f>
        <v>19.150020850708923</v>
      </c>
      <c r="J41" s="20">
        <f>IFERROR('Data Sheet'!I31/HistoricalFS!J36,0)</f>
        <v>25.650020850708923</v>
      </c>
      <c r="K41" s="20">
        <f>IFERROR('Data Sheet'!J31/HistoricalFS!K36,0)</f>
        <v>33.300041701417847</v>
      </c>
      <c r="L41" s="20">
        <f>IFERROR('Data Sheet'!K31/HistoricalFS!L36,0)</f>
        <v>24.80004170141785</v>
      </c>
      <c r="M41" s="20"/>
    </row>
    <row r="42" spans="1:13" x14ac:dyDescent="0.3">
      <c r="B42" s="11" t="s">
        <v>78</v>
      </c>
      <c r="C42" s="13">
        <f>IFERROR(C41/C38,0)</f>
        <v>0.46234824578880013</v>
      </c>
      <c r="D42" s="13">
        <f t="shared" ref="D42:L42" si="16">IFERROR(D41/D38,0)</f>
        <v>0.5886614830041409</v>
      </c>
      <c r="E42" s="13">
        <f t="shared" si="16"/>
        <v>0.47384887939992359</v>
      </c>
      <c r="F42" s="13">
        <f t="shared" si="16"/>
        <v>0.52069256101785133</v>
      </c>
      <c r="G42" s="13">
        <f t="shared" si="16"/>
        <v>0.47580545152409576</v>
      </c>
      <c r="H42" s="13">
        <f t="shared" si="16"/>
        <v>0.59551667768077576</v>
      </c>
      <c r="I42" s="13">
        <f t="shared" si="16"/>
        <v>0.65862893654555732</v>
      </c>
      <c r="J42" s="13">
        <f t="shared" si="16"/>
        <v>0.65367560516170931</v>
      </c>
      <c r="K42" s="13">
        <f t="shared" si="16"/>
        <v>0.67433440369199826</v>
      </c>
      <c r="L42" s="13">
        <f t="shared" si="16"/>
        <v>0.70808962074600557</v>
      </c>
      <c r="M42" s="146"/>
    </row>
    <row r="44" spans="1:13" x14ac:dyDescent="0.3">
      <c r="B44" t="s">
        <v>79</v>
      </c>
      <c r="C44" s="21">
        <f>IFERROR(IF(C38&gt;C41,1-C42,0),0)</f>
        <v>0.53765175421119982</v>
      </c>
      <c r="D44" s="21">
        <f t="shared" ref="D44:L44" si="17">IFERROR(IF(D38&gt;D41,1-D42,0),0)</f>
        <v>0.4113385169958591</v>
      </c>
      <c r="E44" s="21">
        <f t="shared" si="17"/>
        <v>0.52615112060007641</v>
      </c>
      <c r="F44" s="21">
        <f t="shared" si="17"/>
        <v>0.47930743898214867</v>
      </c>
      <c r="G44" s="21">
        <f t="shared" si="17"/>
        <v>0.5241945484759043</v>
      </c>
      <c r="H44" s="21">
        <f t="shared" si="17"/>
        <v>0.40448332231922424</v>
      </c>
      <c r="I44" s="21">
        <f t="shared" si="17"/>
        <v>0.34137106345444268</v>
      </c>
      <c r="J44" s="21">
        <f t="shared" si="17"/>
        <v>0.34632439483829069</v>
      </c>
      <c r="K44" s="21">
        <f t="shared" si="17"/>
        <v>0.32566559630800174</v>
      </c>
      <c r="L44" s="21">
        <f t="shared" si="17"/>
        <v>0.29191037925399443</v>
      </c>
      <c r="M44" s="35"/>
    </row>
    <row r="46" spans="1:13" x14ac:dyDescent="0.3">
      <c r="A46" t="s">
        <v>55</v>
      </c>
      <c r="B46" s="14" t="s">
        <v>80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6"/>
    </row>
    <row r="47" spans="1:13" x14ac:dyDescent="0.3">
      <c r="B47" t="s">
        <v>31</v>
      </c>
      <c r="C47" s="20">
        <f>IFERROR('Data Sheet'!B57,0)</f>
        <v>95.92</v>
      </c>
      <c r="D47" s="20">
        <f>IFERROR('Data Sheet'!C57,0)</f>
        <v>95.92</v>
      </c>
      <c r="E47" s="20">
        <f>IFERROR('Data Sheet'!D57,0)</f>
        <v>95.92</v>
      </c>
      <c r="F47" s="20">
        <f>IFERROR('Data Sheet'!E57,0)</f>
        <v>95.92</v>
      </c>
      <c r="G47" s="20">
        <f>IFERROR('Data Sheet'!F57,0)</f>
        <v>95.92</v>
      </c>
      <c r="H47" s="20">
        <f>IFERROR('Data Sheet'!G57,0)</f>
        <v>95.92</v>
      </c>
      <c r="I47" s="20">
        <f>IFERROR('Data Sheet'!H57,0)</f>
        <v>95.92</v>
      </c>
      <c r="J47" s="20">
        <f>IFERROR('Data Sheet'!I57,0)</f>
        <v>95.92</v>
      </c>
      <c r="K47" s="20">
        <f>IFERROR('Data Sheet'!J57,0)</f>
        <v>95.92</v>
      </c>
      <c r="L47" s="20">
        <f>IFERROR('Data Sheet'!K57,0)</f>
        <v>95.92</v>
      </c>
      <c r="M47" s="20"/>
    </row>
    <row r="48" spans="1:13" x14ac:dyDescent="0.3">
      <c r="B48" t="s">
        <v>32</v>
      </c>
      <c r="C48" s="20">
        <f>IFERROR('Data Sheet'!B58,0)</f>
        <v>6428.9</v>
      </c>
      <c r="D48" s="20">
        <f>IFERROR('Data Sheet'!C58,0)</f>
        <v>7507.97</v>
      </c>
      <c r="E48" s="20">
        <f>IFERROR('Data Sheet'!D58,0)</f>
        <v>8314.31</v>
      </c>
      <c r="F48" s="20">
        <f>IFERROR('Data Sheet'!E58,0)</f>
        <v>9374.6299999999992</v>
      </c>
      <c r="G48" s="20">
        <f>IFERROR('Data Sheet'!F58,0)</f>
        <v>10034.24</v>
      </c>
      <c r="H48" s="20">
        <f>IFERROR('Data Sheet'!G58,0)</f>
        <v>12710.37</v>
      </c>
      <c r="I48" s="20">
        <f>IFERROR('Data Sheet'!H58,0)</f>
        <v>13715.64</v>
      </c>
      <c r="J48" s="20">
        <f>IFERROR('Data Sheet'!I58,0)</f>
        <v>15896.31</v>
      </c>
      <c r="K48" s="20">
        <f>IFERROR('Data Sheet'!J58,0)</f>
        <v>18632.38</v>
      </c>
      <c r="L48" s="20">
        <f>IFERROR('Data Sheet'!K58,0)</f>
        <v>19303.89</v>
      </c>
      <c r="M48" s="20"/>
    </row>
    <row r="49" spans="2:13" x14ac:dyDescent="0.3">
      <c r="B49" t="s">
        <v>33</v>
      </c>
      <c r="C49" s="20">
        <f>IFERROR('Data Sheet'!B59,0)</f>
        <v>323.29000000000002</v>
      </c>
      <c r="D49" s="20">
        <f>IFERROR('Data Sheet'!C59,0)</f>
        <v>560.34</v>
      </c>
      <c r="E49" s="20">
        <f>IFERROR('Data Sheet'!D59,0)</f>
        <v>533.42999999999995</v>
      </c>
      <c r="F49" s="20">
        <f>IFERROR('Data Sheet'!E59,0)</f>
        <v>1319.6</v>
      </c>
      <c r="G49" s="20">
        <f>IFERROR('Data Sheet'!F59,0)</f>
        <v>1118.5</v>
      </c>
      <c r="H49" s="20">
        <f>IFERROR('Data Sheet'!G59,0)</f>
        <v>1093.1199999999999</v>
      </c>
      <c r="I49" s="20">
        <f>IFERROR('Data Sheet'!H59,0)</f>
        <v>1586.88</v>
      </c>
      <c r="J49" s="20">
        <f>IFERROR('Data Sheet'!I59,0)</f>
        <v>1932.62</v>
      </c>
      <c r="K49" s="20">
        <f>IFERROR('Data Sheet'!J59,0)</f>
        <v>2474.38</v>
      </c>
      <c r="L49" s="20">
        <f>IFERROR('Data Sheet'!K59,0)</f>
        <v>2290.29</v>
      </c>
      <c r="M49" s="20"/>
    </row>
    <row r="50" spans="2:13" x14ac:dyDescent="0.3">
      <c r="B50" t="s">
        <v>34</v>
      </c>
      <c r="C50" s="20">
        <f>IFERROR('Data Sheet'!B60,0)</f>
        <v>3710.92</v>
      </c>
      <c r="D50" s="20">
        <f>IFERROR('Data Sheet'!C60,0)</f>
        <v>4240.96</v>
      </c>
      <c r="E50" s="20">
        <f>IFERROR('Data Sheet'!D60,0)</f>
        <v>4819.82</v>
      </c>
      <c r="F50" s="20">
        <f>IFERROR('Data Sheet'!E60,0)</f>
        <v>5458.69</v>
      </c>
      <c r="G50" s="20">
        <f>IFERROR('Data Sheet'!F60,0)</f>
        <v>4889.3100000000004</v>
      </c>
      <c r="H50" s="20">
        <f>IFERROR('Data Sheet'!G60,0)</f>
        <v>6455.93</v>
      </c>
      <c r="I50" s="20">
        <f>IFERROR('Data Sheet'!H60,0)</f>
        <v>7559.99</v>
      </c>
      <c r="J50" s="20">
        <f>IFERROR('Data Sheet'!I60,0)</f>
        <v>7854.48</v>
      </c>
      <c r="K50" s="20">
        <f>IFERROR('Data Sheet'!J60,0)</f>
        <v>8698.09</v>
      </c>
      <c r="L50" s="20">
        <f>IFERROR('Data Sheet'!K60,0)</f>
        <v>8665.15</v>
      </c>
      <c r="M50" s="20"/>
    </row>
    <row r="51" spans="2:13" x14ac:dyDescent="0.3">
      <c r="B51" s="29" t="s">
        <v>81</v>
      </c>
      <c r="C51" s="31">
        <f>IFERROR('Data Sheet'!B61,0)</f>
        <v>10559.03</v>
      </c>
      <c r="D51" s="31">
        <f>IFERROR('Data Sheet'!C61,0)</f>
        <v>12405.19</v>
      </c>
      <c r="E51" s="31">
        <f>IFERROR('Data Sheet'!D61,0)</f>
        <v>13763.48</v>
      </c>
      <c r="F51" s="31">
        <f>IFERROR('Data Sheet'!E61,0)</f>
        <v>16248.84</v>
      </c>
      <c r="G51" s="31">
        <f>IFERROR('Data Sheet'!F61,0)</f>
        <v>16137.97</v>
      </c>
      <c r="H51" s="31">
        <f>IFERROR('Data Sheet'!G61,0)</f>
        <v>20355.34</v>
      </c>
      <c r="I51" s="31">
        <f>IFERROR('Data Sheet'!H61,0)</f>
        <v>22958.43</v>
      </c>
      <c r="J51" s="31">
        <f>IFERROR('Data Sheet'!I61,0)</f>
        <v>25779.33</v>
      </c>
      <c r="K51" s="31">
        <f>IFERROR('Data Sheet'!J61,0)</f>
        <v>29900.77</v>
      </c>
      <c r="L51" s="31">
        <f>IFERROR('Data Sheet'!K61,0)</f>
        <v>30355.25</v>
      </c>
      <c r="M51" s="147"/>
    </row>
    <row r="52" spans="2:13" x14ac:dyDescent="0.3"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 spans="2:13" x14ac:dyDescent="0.3">
      <c r="B53" t="s">
        <v>82</v>
      </c>
      <c r="C53" s="20">
        <f>IFERROR('Data Sheet'!B62,0)</f>
        <v>3416.35</v>
      </c>
      <c r="D53" s="20">
        <f>IFERROR('Data Sheet'!C62,0)</f>
        <v>3303.74</v>
      </c>
      <c r="E53" s="20">
        <f>IFERROR('Data Sheet'!D62,0)</f>
        <v>3732.24</v>
      </c>
      <c r="F53" s="20">
        <f>IFERROR('Data Sheet'!E62,0)</f>
        <v>6496.56</v>
      </c>
      <c r="G53" s="20">
        <f>IFERROR('Data Sheet'!F62,0)</f>
        <v>6272.31</v>
      </c>
      <c r="H53" s="20">
        <f>IFERROR('Data Sheet'!G62,0)</f>
        <v>5858.52</v>
      </c>
      <c r="I53" s="20">
        <f>IFERROR('Data Sheet'!H62,0)</f>
        <v>5519.06</v>
      </c>
      <c r="J53" s="20">
        <f>IFERROR('Data Sheet'!I62,0)</f>
        <v>5770.46</v>
      </c>
      <c r="K53" s="20">
        <f>IFERROR('Data Sheet'!J62,0)</f>
        <v>7146.62</v>
      </c>
      <c r="L53" s="20">
        <f>IFERROR('Data Sheet'!K62,0)</f>
        <v>9220.1</v>
      </c>
      <c r="M53" s="20"/>
    </row>
    <row r="54" spans="2:13" x14ac:dyDescent="0.3">
      <c r="B54" t="s">
        <v>37</v>
      </c>
      <c r="C54" s="20">
        <f>IFERROR('Data Sheet'!B63,0)</f>
        <v>106.59</v>
      </c>
      <c r="D54" s="20">
        <f>IFERROR('Data Sheet'!C63,0)</f>
        <v>257.54000000000002</v>
      </c>
      <c r="E54" s="20">
        <f>IFERROR('Data Sheet'!D63,0)</f>
        <v>1405.11</v>
      </c>
      <c r="F54" s="20">
        <f>IFERROR('Data Sheet'!E63,0)</f>
        <v>209.67</v>
      </c>
      <c r="G54" s="20">
        <f>IFERROR('Data Sheet'!F63,0)</f>
        <v>140.24</v>
      </c>
      <c r="H54" s="20">
        <f>IFERROR('Data Sheet'!G63,0)</f>
        <v>182.98</v>
      </c>
      <c r="I54" s="20">
        <f>IFERROR('Data Sheet'!H63,0)</f>
        <v>426.43</v>
      </c>
      <c r="J54" s="20">
        <f>IFERROR('Data Sheet'!I63,0)</f>
        <v>1019.59</v>
      </c>
      <c r="K54" s="20">
        <f>IFERROR('Data Sheet'!J63,0)</f>
        <v>2698.37</v>
      </c>
      <c r="L54" s="20">
        <f>IFERROR('Data Sheet'!K63,0)</f>
        <v>1254.49</v>
      </c>
      <c r="M54" s="20"/>
    </row>
    <row r="55" spans="2:13" x14ac:dyDescent="0.3">
      <c r="B55" t="s">
        <v>38</v>
      </c>
      <c r="C55" s="20">
        <f>IFERROR('Data Sheet'!B64,0)</f>
        <v>2712.13</v>
      </c>
      <c r="D55" s="20">
        <f>IFERROR('Data Sheet'!C64,0)</f>
        <v>2651.99</v>
      </c>
      <c r="E55" s="20">
        <f>IFERROR('Data Sheet'!D64,0)</f>
        <v>2140.6999999999998</v>
      </c>
      <c r="F55" s="20">
        <f>IFERROR('Data Sheet'!E64,0)</f>
        <v>2568.58</v>
      </c>
      <c r="G55" s="20">
        <f>IFERROR('Data Sheet'!F64,0)</f>
        <v>2018.85</v>
      </c>
      <c r="H55" s="20">
        <f>IFERROR('Data Sheet'!G64,0)</f>
        <v>4736.8</v>
      </c>
      <c r="I55" s="20">
        <f>IFERROR('Data Sheet'!H64,0)</f>
        <v>3247.53</v>
      </c>
      <c r="J55" s="20">
        <f>IFERROR('Data Sheet'!I64,0)</f>
        <v>4261.71</v>
      </c>
      <c r="K55" s="20">
        <f>IFERROR('Data Sheet'!J64,0)</f>
        <v>4587.92</v>
      </c>
      <c r="L55" s="20">
        <f>IFERROR('Data Sheet'!K64,0)</f>
        <v>4724.75</v>
      </c>
      <c r="M55" s="20"/>
    </row>
    <row r="56" spans="2:13" x14ac:dyDescent="0.3">
      <c r="B56" t="s">
        <v>39</v>
      </c>
      <c r="C56" s="20">
        <f>IFERROR('Data Sheet'!B65-SUM('Data Sheet'!B67:B69),0)</f>
        <v>714.68000000000029</v>
      </c>
      <c r="D56" s="20">
        <f>IFERROR('Data Sheet'!C65-SUM('Data Sheet'!C67:C69),0)</f>
        <v>1317.17</v>
      </c>
      <c r="E56" s="20">
        <f>IFERROR('Data Sheet'!D65-SUM('Data Sheet'!D67:D69),0)</f>
        <v>1691.8400000000001</v>
      </c>
      <c r="F56" s="20">
        <f>IFERROR('Data Sheet'!E65-SUM('Data Sheet'!E67:E69),0)</f>
        <v>1471.9599999999991</v>
      </c>
      <c r="G56" s="20">
        <f>IFERROR('Data Sheet'!F65-SUM('Data Sheet'!F67:F69),0)</f>
        <v>1738.71</v>
      </c>
      <c r="H56" s="20">
        <f>IFERROR('Data Sheet'!G65-SUM('Data Sheet'!G67:G69),0)</f>
        <v>2565.5200000000004</v>
      </c>
      <c r="I56" s="20">
        <f>IFERROR('Data Sheet'!H65-SUM('Data Sheet'!H67:H69),0)</f>
        <v>2876.66</v>
      </c>
      <c r="J56" s="20">
        <f>IFERROR('Data Sheet'!I65-SUM('Data Sheet'!I67:I69),0)</f>
        <v>3036.17</v>
      </c>
      <c r="K56" s="20">
        <f>IFERROR('Data Sheet'!J65-SUM('Data Sheet'!J67:J69),0)</f>
        <v>3571.3900000000012</v>
      </c>
      <c r="L56" s="20">
        <f>IFERROR('Data Sheet'!K65-SUM('Data Sheet'!K67:K69),0)</f>
        <v>3341.01</v>
      </c>
      <c r="M56" s="20"/>
    </row>
    <row r="57" spans="2:13" x14ac:dyDescent="0.3">
      <c r="B57" s="29" t="s">
        <v>85</v>
      </c>
      <c r="C57" s="31">
        <f>IFERROR(SUM(C53:C56),0)</f>
        <v>6949.75</v>
      </c>
      <c r="D57" s="31">
        <f t="shared" ref="D57:L57" si="18">IFERROR(SUM(D53:D56),0)</f>
        <v>7530.44</v>
      </c>
      <c r="E57" s="31">
        <f t="shared" si="18"/>
        <v>8969.89</v>
      </c>
      <c r="F57" s="31">
        <f t="shared" si="18"/>
        <v>10746.77</v>
      </c>
      <c r="G57" s="31">
        <f t="shared" si="18"/>
        <v>10170.11</v>
      </c>
      <c r="H57" s="31">
        <f t="shared" si="18"/>
        <v>13343.82</v>
      </c>
      <c r="I57" s="31">
        <f t="shared" si="18"/>
        <v>12069.68</v>
      </c>
      <c r="J57" s="31">
        <f t="shared" si="18"/>
        <v>14087.93</v>
      </c>
      <c r="K57" s="31">
        <f t="shared" si="18"/>
        <v>18004.300000000003</v>
      </c>
      <c r="L57" s="31">
        <f t="shared" si="18"/>
        <v>18540.349999999999</v>
      </c>
      <c r="M57" s="147"/>
    </row>
    <row r="58" spans="2:13" x14ac:dyDescent="0.3"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</row>
    <row r="59" spans="2:13" x14ac:dyDescent="0.3">
      <c r="B59" t="s">
        <v>40</v>
      </c>
      <c r="C59" s="20">
        <f>IFERROR('Data Sheet'!B67,0)</f>
        <v>1186.8399999999999</v>
      </c>
      <c r="D59" s="20">
        <f>IFERROR('Data Sheet'!C67,0)</f>
        <v>1446.6</v>
      </c>
      <c r="E59" s="20">
        <f>IFERROR('Data Sheet'!D67,0)</f>
        <v>1730.63</v>
      </c>
      <c r="F59" s="20">
        <f>IFERROR('Data Sheet'!E67,0)</f>
        <v>1907.33</v>
      </c>
      <c r="G59" s="20">
        <f>IFERROR('Data Sheet'!F67,0)</f>
        <v>1795.22</v>
      </c>
      <c r="H59" s="20">
        <f>IFERROR('Data Sheet'!G67,0)</f>
        <v>2602.17</v>
      </c>
      <c r="I59" s="20">
        <f>IFERROR('Data Sheet'!H67,0)</f>
        <v>3871.44</v>
      </c>
      <c r="J59" s="20">
        <f>IFERROR('Data Sheet'!I67,0)</f>
        <v>4636.9399999999996</v>
      </c>
      <c r="K59" s="20">
        <f>IFERROR('Data Sheet'!J67,0)</f>
        <v>4889.05</v>
      </c>
      <c r="L59" s="20">
        <f>IFERROR('Data Sheet'!K67,0)</f>
        <v>4313.6499999999996</v>
      </c>
      <c r="M59" s="20"/>
    </row>
    <row r="60" spans="2:13" x14ac:dyDescent="0.3">
      <c r="B60" t="s">
        <v>41</v>
      </c>
      <c r="C60" s="20">
        <f>IFERROR('Data Sheet'!B68,0)</f>
        <v>1998.24</v>
      </c>
      <c r="D60" s="20">
        <f>IFERROR('Data Sheet'!C68,0)</f>
        <v>2626.94</v>
      </c>
      <c r="E60" s="20">
        <f>IFERROR('Data Sheet'!D68,0)</f>
        <v>2658.31</v>
      </c>
      <c r="F60" s="20">
        <f>IFERROR('Data Sheet'!E68,0)</f>
        <v>3149.86</v>
      </c>
      <c r="G60" s="20">
        <f>IFERROR('Data Sheet'!F68,0)</f>
        <v>3389.81</v>
      </c>
      <c r="H60" s="20">
        <f>IFERROR('Data Sheet'!G68,0)</f>
        <v>3798.6</v>
      </c>
      <c r="I60" s="20">
        <f>IFERROR('Data Sheet'!H68,0)</f>
        <v>6152.98</v>
      </c>
      <c r="J60" s="20">
        <f>IFERROR('Data Sheet'!I68,0)</f>
        <v>6210.64</v>
      </c>
      <c r="K60" s="20">
        <f>IFERROR('Data Sheet'!J68,0)</f>
        <v>5923.41</v>
      </c>
      <c r="L60" s="20">
        <f>IFERROR('Data Sheet'!K68,0)</f>
        <v>6719.27</v>
      </c>
      <c r="M60" s="20"/>
    </row>
    <row r="61" spans="2:13" x14ac:dyDescent="0.3">
      <c r="B61" t="s">
        <v>42</v>
      </c>
      <c r="C61" s="20">
        <f>IFERROR('Data Sheet'!B69,0)</f>
        <v>424.2</v>
      </c>
      <c r="D61" s="20">
        <f>IFERROR('Data Sheet'!C69,0)</f>
        <v>801.21</v>
      </c>
      <c r="E61" s="20">
        <f>IFERROR('Data Sheet'!D69,0)</f>
        <v>404.65</v>
      </c>
      <c r="F61" s="20">
        <f>IFERROR('Data Sheet'!E69,0)</f>
        <v>444.88</v>
      </c>
      <c r="G61" s="20">
        <f>IFERROR('Data Sheet'!F69,0)</f>
        <v>782.83</v>
      </c>
      <c r="H61" s="20">
        <f>IFERROR('Data Sheet'!G69,0)</f>
        <v>610.75</v>
      </c>
      <c r="I61" s="20">
        <f>IFERROR('Data Sheet'!H69,0)</f>
        <v>864.33</v>
      </c>
      <c r="J61" s="20">
        <f>IFERROR('Data Sheet'!I69,0)</f>
        <v>843.82</v>
      </c>
      <c r="K61" s="20">
        <f>IFERROR('Data Sheet'!J69,0)</f>
        <v>1084.01</v>
      </c>
      <c r="L61" s="20">
        <f>IFERROR('Data Sheet'!K69,0)</f>
        <v>781.98</v>
      </c>
      <c r="M61" s="20"/>
    </row>
    <row r="62" spans="2:13" x14ac:dyDescent="0.3">
      <c r="B62" s="29" t="s">
        <v>84</v>
      </c>
      <c r="C62" s="31">
        <f>IFERROR(SUM(C59:C61),0)</f>
        <v>3609.2799999999997</v>
      </c>
      <c r="D62" s="31">
        <f t="shared" ref="D62:L62" si="19">IFERROR(SUM(D59:D61),0)</f>
        <v>4874.75</v>
      </c>
      <c r="E62" s="31">
        <f t="shared" si="19"/>
        <v>4793.59</v>
      </c>
      <c r="F62" s="31">
        <f t="shared" si="19"/>
        <v>5502.0700000000006</v>
      </c>
      <c r="G62" s="31">
        <f t="shared" si="19"/>
        <v>5967.86</v>
      </c>
      <c r="H62" s="31">
        <f t="shared" si="19"/>
        <v>7011.52</v>
      </c>
      <c r="I62" s="31">
        <f t="shared" si="19"/>
        <v>10888.75</v>
      </c>
      <c r="J62" s="31">
        <f t="shared" si="19"/>
        <v>11691.4</v>
      </c>
      <c r="K62" s="31">
        <f t="shared" si="19"/>
        <v>11896.47</v>
      </c>
      <c r="L62" s="31">
        <f t="shared" si="19"/>
        <v>11814.9</v>
      </c>
      <c r="M62" s="20"/>
    </row>
    <row r="64" spans="2:13" x14ac:dyDescent="0.3">
      <c r="B64" s="29" t="s">
        <v>83</v>
      </c>
      <c r="C64" s="31">
        <f>IFERROR(C62+C57,0)</f>
        <v>10559.029999999999</v>
      </c>
      <c r="D64" s="31">
        <f t="shared" ref="D64:L64" si="20">IFERROR(D62+D57,0)</f>
        <v>12405.189999999999</v>
      </c>
      <c r="E64" s="31">
        <f t="shared" si="20"/>
        <v>13763.48</v>
      </c>
      <c r="F64" s="31">
        <f t="shared" si="20"/>
        <v>16248.84</v>
      </c>
      <c r="G64" s="31">
        <f t="shared" si="20"/>
        <v>16137.970000000001</v>
      </c>
      <c r="H64" s="31">
        <f t="shared" si="20"/>
        <v>20355.34</v>
      </c>
      <c r="I64" s="31">
        <f t="shared" si="20"/>
        <v>22958.43</v>
      </c>
      <c r="J64" s="31">
        <f t="shared" si="20"/>
        <v>25779.33</v>
      </c>
      <c r="K64" s="31">
        <f t="shared" si="20"/>
        <v>29900.770000000004</v>
      </c>
      <c r="L64" s="31">
        <f t="shared" si="20"/>
        <v>30355.25</v>
      </c>
    </row>
    <row r="66" spans="1:13" x14ac:dyDescent="0.3">
      <c r="B66" s="23" t="s">
        <v>86</v>
      </c>
      <c r="C66" s="24" t="b">
        <f>C51=C64</f>
        <v>1</v>
      </c>
      <c r="D66" s="24" t="b">
        <f t="shared" ref="D66:L66" si="21">D51=D64</f>
        <v>1</v>
      </c>
      <c r="E66" s="24" t="b">
        <f t="shared" si="21"/>
        <v>1</v>
      </c>
      <c r="F66" s="24" t="b">
        <f t="shared" si="21"/>
        <v>1</v>
      </c>
      <c r="G66" s="24" t="b">
        <f t="shared" si="21"/>
        <v>1</v>
      </c>
      <c r="H66" s="24" t="b">
        <f t="shared" si="21"/>
        <v>1</v>
      </c>
      <c r="I66" s="24" t="b">
        <f t="shared" si="21"/>
        <v>1</v>
      </c>
      <c r="J66" s="24" t="b">
        <f t="shared" si="21"/>
        <v>1</v>
      </c>
      <c r="K66" s="24" t="b">
        <f t="shared" si="21"/>
        <v>1</v>
      </c>
      <c r="L66" s="24" t="b">
        <f t="shared" si="21"/>
        <v>1</v>
      </c>
    </row>
    <row r="68" spans="1:13" x14ac:dyDescent="0.3">
      <c r="A68" t="s">
        <v>55</v>
      </c>
      <c r="B68" s="28" t="s">
        <v>115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148"/>
    </row>
    <row r="69" spans="1:13" x14ac:dyDescent="0.3">
      <c r="B69" s="22" t="s">
        <v>116</v>
      </c>
    </row>
    <row r="70" spans="1:13" x14ac:dyDescent="0.3">
      <c r="B70" t="s">
        <v>88</v>
      </c>
      <c r="C70" s="20">
        <f>IFERROR('Cash Flow Data'!E4,0)</f>
        <v>38626</v>
      </c>
      <c r="D70" s="20">
        <f>IFERROR('Cash Flow Data'!F4,0)</f>
        <v>28840</v>
      </c>
      <c r="E70" s="20">
        <f>IFERROR('Cash Flow Data'!G4,0)</f>
        <v>33312</v>
      </c>
      <c r="F70" s="20">
        <f>IFERROR('Cash Flow Data'!H4,0)</f>
        <v>28771</v>
      </c>
      <c r="G70" s="20">
        <f>IFERROR('Cash Flow Data'!I4,0)</f>
        <v>23352</v>
      </c>
      <c r="H70" s="20">
        <f>IFERROR('Cash Flow Data'!J4,0)</f>
        <v>31198</v>
      </c>
      <c r="I70" s="20">
        <f>IFERROR('Cash Flow Data'!K4,0)</f>
        <v>26943</v>
      </c>
      <c r="J70" s="20">
        <f>IFERROR('Cash Flow Data'!L4,0)</f>
        <v>41694</v>
      </c>
      <c r="K70" s="20">
        <f>IFERROR('Cash Flow Data'!M4,0)</f>
        <v>65106</v>
      </c>
      <c r="L70" s="20">
        <f>IFERROR('Cash Flow Data'!N4,0)</f>
        <v>58937</v>
      </c>
      <c r="M70" s="20"/>
    </row>
    <row r="71" spans="1:13" x14ac:dyDescent="0.3">
      <c r="B71" t="s">
        <v>40</v>
      </c>
      <c r="C71" s="20">
        <f>IFERROR('Cash Flow Data'!E5,0)</f>
        <v>-2223</v>
      </c>
      <c r="D71" s="20">
        <f>IFERROR('Cash Flow Data'!F5,0)</f>
        <v>-4152</v>
      </c>
      <c r="E71" s="20">
        <f>IFERROR('Cash Flow Data'!G5,0)</f>
        <v>-10688</v>
      </c>
      <c r="F71" s="20">
        <f>IFERROR('Cash Flow Data'!H5,0)</f>
        <v>-9109</v>
      </c>
      <c r="G71" s="20">
        <f>IFERROR('Cash Flow Data'!I5,0)</f>
        <v>9950</v>
      </c>
      <c r="H71" s="20">
        <f>IFERROR('Cash Flow Data'!J5,0)</f>
        <v>-5505</v>
      </c>
      <c r="I71" s="20">
        <f>IFERROR('Cash Flow Data'!K5,0)</f>
        <v>185</v>
      </c>
      <c r="J71" s="20">
        <f>IFERROR('Cash Flow Data'!L5,0)</f>
        <v>-2213</v>
      </c>
      <c r="K71" s="20">
        <f>IFERROR('Cash Flow Data'!M5,0)</f>
        <v>-1876</v>
      </c>
      <c r="L71" s="20">
        <f>IFERROR('Cash Flow Data'!N5,0)</f>
        <v>3573</v>
      </c>
      <c r="M71" s="20"/>
    </row>
    <row r="72" spans="1:13" x14ac:dyDescent="0.3">
      <c r="B72" t="s">
        <v>41</v>
      </c>
      <c r="C72" s="20">
        <f>IFERROR('Cash Flow Data'!E6,0)</f>
        <v>-5743</v>
      </c>
      <c r="D72" s="20">
        <f>IFERROR('Cash Flow Data'!F6,0)</f>
        <v>-6621</v>
      </c>
      <c r="E72" s="20">
        <f>IFERROR('Cash Flow Data'!G6,0)</f>
        <v>-3560</v>
      </c>
      <c r="F72" s="20">
        <f>IFERROR('Cash Flow Data'!H6,0)</f>
        <v>2069</v>
      </c>
      <c r="G72" s="20">
        <f>IFERROR('Cash Flow Data'!I6,0)</f>
        <v>2326</v>
      </c>
      <c r="H72" s="20">
        <f>IFERROR('Cash Flow Data'!J6,0)</f>
        <v>3814</v>
      </c>
      <c r="I72" s="20">
        <f>IFERROR('Cash Flow Data'!K6,0)</f>
        <v>472</v>
      </c>
      <c r="J72" s="20">
        <f>IFERROR('Cash Flow Data'!L6,0)</f>
        <v>-5665</v>
      </c>
      <c r="K72" s="20">
        <f>IFERROR('Cash Flow Data'!M6,0)</f>
        <v>-7265</v>
      </c>
      <c r="L72" s="20">
        <f>IFERROR('Cash Flow Data'!N6,0)</f>
        <v>2127</v>
      </c>
      <c r="M72" s="20"/>
    </row>
    <row r="73" spans="1:13" x14ac:dyDescent="0.3">
      <c r="B73" t="s">
        <v>89</v>
      </c>
      <c r="C73" s="20">
        <f>IFERROR('Cash Flow Data'!E7,0)</f>
        <v>3947</v>
      </c>
      <c r="D73" s="20">
        <f>IFERROR('Cash Flow Data'!F7,0)</f>
        <v>9301</v>
      </c>
      <c r="E73" s="20">
        <f>IFERROR('Cash Flow Data'!G7,0)</f>
        <v>7320</v>
      </c>
      <c r="F73" s="20">
        <f>IFERROR('Cash Flow Data'!H7,0)</f>
        <v>-4692</v>
      </c>
      <c r="G73" s="20">
        <f>IFERROR('Cash Flow Data'!I7,0)</f>
        <v>-8085</v>
      </c>
      <c r="H73" s="20">
        <f>IFERROR('Cash Flow Data'!J7,0)</f>
        <v>5748</v>
      </c>
      <c r="I73" s="20">
        <f>IFERROR('Cash Flow Data'!K7,0)</f>
        <v>-7012</v>
      </c>
      <c r="J73" s="20">
        <f>IFERROR('Cash Flow Data'!L7,0)</f>
        <v>6945</v>
      </c>
      <c r="K73" s="20">
        <f>IFERROR('Cash Flow Data'!M7,0)</f>
        <v>13706</v>
      </c>
      <c r="L73" s="20">
        <f>IFERROR('Cash Flow Data'!N7,0)</f>
        <v>1303</v>
      </c>
      <c r="M73" s="20"/>
    </row>
    <row r="74" spans="1:13" x14ac:dyDescent="0.3">
      <c r="B74" t="s">
        <v>90</v>
      </c>
      <c r="C74" s="20">
        <f>IFERROR('Cash Flow Data'!E8,0)</f>
        <v>-520</v>
      </c>
      <c r="D74" s="20">
        <f>IFERROR('Cash Flow Data'!F8,0)</f>
        <v>0</v>
      </c>
      <c r="E74" s="20">
        <f>IFERROR('Cash Flow Data'!G8,0)</f>
        <v>0</v>
      </c>
      <c r="F74" s="20">
        <f>IFERROR('Cash Flow Data'!H8,0)</f>
        <v>0</v>
      </c>
      <c r="G74" s="20">
        <f>IFERROR('Cash Flow Data'!I8,0)</f>
        <v>0</v>
      </c>
      <c r="H74" s="20">
        <f>IFERROR('Cash Flow Data'!J8,0)</f>
        <v>0</v>
      </c>
      <c r="I74" s="20">
        <f>IFERROR('Cash Flow Data'!K8,0)</f>
        <v>0</v>
      </c>
      <c r="J74" s="20">
        <f>IFERROR('Cash Flow Data'!L8,0)</f>
        <v>0</v>
      </c>
      <c r="K74" s="20">
        <f>IFERROR('Cash Flow Data'!M8,0)</f>
        <v>0</v>
      </c>
      <c r="L74" s="20">
        <f>IFERROR('Cash Flow Data'!N8,0)</f>
        <v>0</v>
      </c>
      <c r="M74" s="20"/>
    </row>
    <row r="75" spans="1:13" x14ac:dyDescent="0.3">
      <c r="B75" t="s">
        <v>91</v>
      </c>
      <c r="C75" s="20">
        <f>IFERROR('Cash Flow Data'!E9,0)</f>
        <v>5852</v>
      </c>
      <c r="D75" s="20">
        <f>IFERROR('Cash Flow Data'!F9,0)</f>
        <v>4727</v>
      </c>
      <c r="E75" s="20">
        <f>IFERROR('Cash Flow Data'!G9,0)</f>
        <v>494</v>
      </c>
      <c r="F75" s="20">
        <f>IFERROR('Cash Flow Data'!H9,0)</f>
        <v>4512</v>
      </c>
      <c r="G75" s="20">
        <f>IFERROR('Cash Flow Data'!I9,0)</f>
        <v>875</v>
      </c>
      <c r="H75" s="20">
        <f>IFERROR('Cash Flow Data'!J9,0)</f>
        <v>-4150</v>
      </c>
      <c r="I75" s="20">
        <f>IFERROR('Cash Flow Data'!K9,0)</f>
        <v>-4396</v>
      </c>
      <c r="J75" s="20">
        <f>IFERROR('Cash Flow Data'!L9,0)</f>
        <v>-2194</v>
      </c>
      <c r="K75" s="20">
        <f>IFERROR('Cash Flow Data'!M9,0)</f>
        <v>2760</v>
      </c>
      <c r="L75" s="20">
        <f>IFERROR('Cash Flow Data'!N9,0)</f>
        <v>1153</v>
      </c>
      <c r="M75" s="20"/>
    </row>
    <row r="76" spans="1:13" x14ac:dyDescent="0.3">
      <c r="B76" t="s">
        <v>92</v>
      </c>
      <c r="C76" s="20">
        <f>IFERROR('Cash Flow Data'!E10,0)</f>
        <v>1313</v>
      </c>
      <c r="D76" s="20">
        <f>IFERROR('Cash Flow Data'!F10,0)</f>
        <v>3254</v>
      </c>
      <c r="E76" s="20">
        <f>IFERROR('Cash Flow Data'!G10,0)</f>
        <v>-6434</v>
      </c>
      <c r="F76" s="20">
        <f>IFERROR('Cash Flow Data'!H10,0)</f>
        <v>-7221</v>
      </c>
      <c r="G76" s="20">
        <f>IFERROR('Cash Flow Data'!I10,0)</f>
        <v>5065</v>
      </c>
      <c r="H76" s="20">
        <f>IFERROR('Cash Flow Data'!J10,0)</f>
        <v>-93</v>
      </c>
      <c r="I76" s="20">
        <f>IFERROR('Cash Flow Data'!K10,0)</f>
        <v>-10750</v>
      </c>
      <c r="J76" s="20">
        <f>IFERROR('Cash Flow Data'!L10,0)</f>
        <v>-3127</v>
      </c>
      <c r="K76" s="20">
        <f>IFERROR('Cash Flow Data'!M10,0)</f>
        <v>7325</v>
      </c>
      <c r="L76" s="20">
        <f>IFERROR('Cash Flow Data'!N10,0)</f>
        <v>8156</v>
      </c>
      <c r="M76" s="20"/>
    </row>
    <row r="77" spans="1:13" x14ac:dyDescent="0.3">
      <c r="B77" t="s">
        <v>93</v>
      </c>
      <c r="C77" s="20">
        <f>IFERROR('Cash Flow Data'!E11,0)</f>
        <v>-2040</v>
      </c>
      <c r="D77" s="20">
        <f>IFERROR('Cash Flow Data'!F11,0)</f>
        <v>-1895</v>
      </c>
      <c r="E77" s="20">
        <f>IFERROR('Cash Flow Data'!G11,0)</f>
        <v>-3021</v>
      </c>
      <c r="F77" s="20">
        <f>IFERROR('Cash Flow Data'!H11,0)</f>
        <v>-2659</v>
      </c>
      <c r="G77" s="20">
        <f>IFERROR('Cash Flow Data'!I11,0)</f>
        <v>-1785</v>
      </c>
      <c r="H77" s="20">
        <f>IFERROR('Cash Flow Data'!J11,0)</f>
        <v>-2105</v>
      </c>
      <c r="I77" s="20">
        <f>IFERROR('Cash Flow Data'!K11,0)</f>
        <v>-1910</v>
      </c>
      <c r="J77" s="20">
        <f>IFERROR('Cash Flow Data'!L11,0)</f>
        <v>-3179</v>
      </c>
      <c r="K77" s="20">
        <f>IFERROR('Cash Flow Data'!M11,0)</f>
        <v>-4516</v>
      </c>
      <c r="L77" s="20">
        <f>IFERROR('Cash Flow Data'!N11,0)</f>
        <v>-3991</v>
      </c>
      <c r="M77" s="20"/>
    </row>
    <row r="78" spans="1:13" x14ac:dyDescent="0.3">
      <c r="B78" s="29" t="s">
        <v>151</v>
      </c>
      <c r="C78" s="31">
        <f>IFERROR(SUM(C70:C77),0)</f>
        <v>39212</v>
      </c>
      <c r="D78" s="31">
        <f t="shared" ref="D78:L78" si="22">IFERROR(SUM(D70:D77),0)</f>
        <v>33454</v>
      </c>
      <c r="E78" s="31">
        <f t="shared" si="22"/>
        <v>17423</v>
      </c>
      <c r="F78" s="31">
        <f t="shared" si="22"/>
        <v>11671</v>
      </c>
      <c r="G78" s="31">
        <f t="shared" si="22"/>
        <v>31698</v>
      </c>
      <c r="H78" s="31">
        <f t="shared" si="22"/>
        <v>28907</v>
      </c>
      <c r="I78" s="31">
        <f t="shared" si="22"/>
        <v>3532</v>
      </c>
      <c r="J78" s="31">
        <f t="shared" si="22"/>
        <v>32261</v>
      </c>
      <c r="K78" s="31">
        <f t="shared" si="22"/>
        <v>75240</v>
      </c>
      <c r="L78" s="31">
        <f t="shared" si="22"/>
        <v>71258</v>
      </c>
    </row>
    <row r="80" spans="1:13" x14ac:dyDescent="0.3">
      <c r="B80" s="22" t="s">
        <v>117</v>
      </c>
    </row>
    <row r="81" spans="2:13" x14ac:dyDescent="0.3">
      <c r="B81" t="s">
        <v>95</v>
      </c>
      <c r="C81" s="20">
        <f>IFERROR('Cash Flow Data'!E13,0)</f>
        <v>-31503</v>
      </c>
      <c r="D81" s="20">
        <f>IFERROR('Cash Flow Data'!F13,0)</f>
        <v>-16072</v>
      </c>
      <c r="E81" s="20">
        <f>IFERROR('Cash Flow Data'!G13,0)</f>
        <v>-35079</v>
      </c>
      <c r="F81" s="20">
        <f>IFERROR('Cash Flow Data'!H13,0)</f>
        <v>-35304</v>
      </c>
      <c r="G81" s="20">
        <f>IFERROR('Cash Flow Data'!I13,0)</f>
        <v>-29702</v>
      </c>
      <c r="H81" s="20">
        <f>IFERROR('Cash Flow Data'!J13,0)</f>
        <v>-20205</v>
      </c>
      <c r="I81" s="20">
        <f>IFERROR('Cash Flow Data'!K13,0)</f>
        <v>-15168</v>
      </c>
      <c r="J81" s="20">
        <f>IFERROR('Cash Flow Data'!L13,0)</f>
        <v>-19230</v>
      </c>
      <c r="K81" s="20">
        <f>IFERROR('Cash Flow Data'!M13,0)</f>
        <v>-31414</v>
      </c>
      <c r="L81" s="20">
        <f>IFERROR('Cash Flow Data'!N13,0)</f>
        <v>-38042</v>
      </c>
    </row>
    <row r="82" spans="2:13" x14ac:dyDescent="0.3">
      <c r="B82" t="s">
        <v>96</v>
      </c>
      <c r="C82" s="20">
        <f>IFERROR('Cash Flow Data'!E14,0)</f>
        <v>59</v>
      </c>
      <c r="D82" s="20">
        <f>IFERROR('Cash Flow Data'!F14,0)</f>
        <v>53</v>
      </c>
      <c r="E82" s="20">
        <f>IFERROR('Cash Flow Data'!G14,0)</f>
        <v>30</v>
      </c>
      <c r="F82" s="20">
        <f>IFERROR('Cash Flow Data'!H14,0)</f>
        <v>67</v>
      </c>
      <c r="G82" s="20">
        <f>IFERROR('Cash Flow Data'!I14,0)</f>
        <v>171</v>
      </c>
      <c r="H82" s="20">
        <f>IFERROR('Cash Flow Data'!J14,0)</f>
        <v>351</v>
      </c>
      <c r="I82" s="20">
        <f>IFERROR('Cash Flow Data'!K14,0)</f>
        <v>230</v>
      </c>
      <c r="J82" s="20">
        <f>IFERROR('Cash Flow Data'!L14,0)</f>
        <v>285</v>
      </c>
      <c r="K82" s="20">
        <f>IFERROR('Cash Flow Data'!M14,0)</f>
        <v>231</v>
      </c>
      <c r="L82" s="20">
        <f>IFERROR('Cash Flow Data'!N14,0)</f>
        <v>974</v>
      </c>
    </row>
    <row r="83" spans="2:13" x14ac:dyDescent="0.3">
      <c r="B83" t="s">
        <v>97</v>
      </c>
      <c r="C83" s="20">
        <f>IFERROR('Cash Flow Data'!E15,0)</f>
        <v>-4728</v>
      </c>
      <c r="D83" s="20">
        <f>IFERROR('Cash Flow Data'!F15,0)</f>
        <v>-6</v>
      </c>
      <c r="E83" s="20">
        <f>IFERROR('Cash Flow Data'!G15,0)</f>
        <v>-329</v>
      </c>
      <c r="F83" s="20">
        <f>IFERROR('Cash Flow Data'!H15,0)</f>
        <v>-130</v>
      </c>
      <c r="G83" s="20">
        <f>IFERROR('Cash Flow Data'!I15,0)</f>
        <v>-1439</v>
      </c>
      <c r="H83" s="20">
        <f>IFERROR('Cash Flow Data'!J15,0)</f>
        <v>-7530</v>
      </c>
      <c r="I83" s="20">
        <f>IFERROR('Cash Flow Data'!K15,0)</f>
        <v>-3008</v>
      </c>
      <c r="J83" s="20">
        <f>IFERROR('Cash Flow Data'!L15,0)</f>
        <v>-50</v>
      </c>
      <c r="K83" s="20">
        <f>IFERROR('Cash Flow Data'!M15,0)</f>
        <v>-74</v>
      </c>
      <c r="L83" s="20">
        <f>IFERROR('Cash Flow Data'!N15,0)</f>
        <v>-12677</v>
      </c>
    </row>
    <row r="84" spans="2:13" x14ac:dyDescent="0.3">
      <c r="B84" t="s">
        <v>98</v>
      </c>
      <c r="C84" s="20">
        <f>IFERROR('Cash Flow Data'!E16,0)</f>
        <v>89</v>
      </c>
      <c r="D84" s="20">
        <f>IFERROR('Cash Flow Data'!F16,0)</f>
        <v>1965</v>
      </c>
      <c r="E84" s="20">
        <f>IFERROR('Cash Flow Data'!G16,0)</f>
        <v>2381</v>
      </c>
      <c r="F84" s="20">
        <f>IFERROR('Cash Flow Data'!H16,0)</f>
        <v>5644</v>
      </c>
      <c r="G84" s="20">
        <f>IFERROR('Cash Flow Data'!I16,0)</f>
        <v>21</v>
      </c>
      <c r="H84" s="20">
        <f>IFERROR('Cash Flow Data'!J16,0)</f>
        <v>226</v>
      </c>
      <c r="I84" s="20">
        <f>IFERROR('Cash Flow Data'!K16,0)</f>
        <v>104</v>
      </c>
      <c r="J84" s="20">
        <f>IFERROR('Cash Flow Data'!L16,0)</f>
        <v>6895</v>
      </c>
      <c r="K84" s="20">
        <f>IFERROR('Cash Flow Data'!M16,0)</f>
        <v>10821</v>
      </c>
      <c r="L84" s="20">
        <f>IFERROR('Cash Flow Data'!N16,0)</f>
        <v>111</v>
      </c>
    </row>
    <row r="85" spans="2:13" x14ac:dyDescent="0.3">
      <c r="B85" t="s">
        <v>99</v>
      </c>
      <c r="C85" s="20">
        <f>IFERROR('Cash Flow Data'!E17,0)</f>
        <v>731</v>
      </c>
      <c r="D85" s="20">
        <f>IFERROR('Cash Flow Data'!F17,0)</f>
        <v>638</v>
      </c>
      <c r="E85" s="20">
        <f>IFERROR('Cash Flow Data'!G17,0)</f>
        <v>690</v>
      </c>
      <c r="F85" s="20">
        <f>IFERROR('Cash Flow Data'!H17,0)</f>
        <v>761</v>
      </c>
      <c r="G85" s="20">
        <f>IFERROR('Cash Flow Data'!I17,0)</f>
        <v>1104</v>
      </c>
      <c r="H85" s="20">
        <f>IFERROR('Cash Flow Data'!J17,0)</f>
        <v>428</v>
      </c>
      <c r="I85" s="20">
        <f>IFERROR('Cash Flow Data'!K17,0)</f>
        <v>653</v>
      </c>
      <c r="J85" s="20">
        <f>IFERROR('Cash Flow Data'!L17,0)</f>
        <v>973</v>
      </c>
      <c r="K85" s="20">
        <f>IFERROR('Cash Flow Data'!M17,0)</f>
        <v>2493</v>
      </c>
      <c r="L85" s="20">
        <f>IFERROR('Cash Flow Data'!N17,0)</f>
        <v>2420</v>
      </c>
    </row>
    <row r="86" spans="2:13" x14ac:dyDescent="0.3">
      <c r="B86" t="s">
        <v>100</v>
      </c>
      <c r="C86" s="20">
        <f>IFERROR('Cash Flow Data'!E18,0)</f>
        <v>58</v>
      </c>
      <c r="D86" s="20">
        <f>IFERROR('Cash Flow Data'!F18,0)</f>
        <v>620</v>
      </c>
      <c r="E86" s="20">
        <f>IFERROR('Cash Flow Data'!G18,0)</f>
        <v>1797</v>
      </c>
      <c r="F86" s="20">
        <f>IFERROR('Cash Flow Data'!H18,0)</f>
        <v>232</v>
      </c>
      <c r="G86" s="20">
        <f>IFERROR('Cash Flow Data'!I18,0)</f>
        <v>21</v>
      </c>
      <c r="H86" s="20">
        <f>IFERROR('Cash Flow Data'!J18,0)</f>
        <v>18</v>
      </c>
      <c r="I86" s="20">
        <f>IFERROR('Cash Flow Data'!K18,0)</f>
        <v>32</v>
      </c>
      <c r="J86" s="20">
        <f>IFERROR('Cash Flow Data'!L18,0)</f>
        <v>46</v>
      </c>
      <c r="K86" s="20">
        <f>IFERROR('Cash Flow Data'!M18,0)</f>
        <v>47</v>
      </c>
      <c r="L86" s="20">
        <f>IFERROR('Cash Flow Data'!N18,0)</f>
        <v>64</v>
      </c>
    </row>
    <row r="87" spans="2:13" x14ac:dyDescent="0.3">
      <c r="B87" t="s">
        <v>101</v>
      </c>
      <c r="C87" s="20">
        <f>IFERROR('Cash Flow Data'!E19,0)</f>
        <v>0</v>
      </c>
      <c r="D87" s="20">
        <f>IFERROR('Cash Flow Data'!F19,0)</f>
        <v>-107</v>
      </c>
      <c r="E87" s="20">
        <f>IFERROR('Cash Flow Data'!G19,0)</f>
        <v>-4</v>
      </c>
      <c r="F87" s="20">
        <f>IFERROR('Cash Flow Data'!H19,0)</f>
        <v>-9</v>
      </c>
      <c r="G87" s="20">
        <f>IFERROR('Cash Flow Data'!I19,0)</f>
        <v>-606</v>
      </c>
      <c r="H87" s="20">
        <f>IFERROR('Cash Flow Data'!J19,0)</f>
        <v>-10</v>
      </c>
      <c r="I87" s="20">
        <f>IFERROR('Cash Flow Data'!K19,0)</f>
        <v>0</v>
      </c>
      <c r="J87" s="20">
        <f>IFERROR('Cash Flow Data'!L19,0)</f>
        <v>0</v>
      </c>
      <c r="K87" s="20">
        <f>IFERROR('Cash Flow Data'!M19,0)</f>
        <v>-150</v>
      </c>
      <c r="L87" s="20">
        <f>IFERROR('Cash Flow Data'!N19,0)</f>
        <v>0</v>
      </c>
    </row>
    <row r="88" spans="2:13" x14ac:dyDescent="0.3">
      <c r="B88" t="s">
        <v>102</v>
      </c>
      <c r="C88" s="20">
        <f>IFERROR('Cash Flow Data'!E20,0)</f>
        <v>0</v>
      </c>
      <c r="D88" s="20">
        <f>IFERROR('Cash Flow Data'!F20,0)</f>
        <v>0</v>
      </c>
      <c r="E88" s="20">
        <f>IFERROR('Cash Flow Data'!G20,0)</f>
        <v>14</v>
      </c>
      <c r="F88" s="20">
        <f>IFERROR('Cash Flow Data'!H20,0)</f>
        <v>533</v>
      </c>
      <c r="G88" s="20">
        <f>IFERROR('Cash Flow Data'!I20,0)</f>
        <v>0</v>
      </c>
      <c r="H88" s="20">
        <f>IFERROR('Cash Flow Data'!J20,0)</f>
        <v>0</v>
      </c>
      <c r="I88" s="20">
        <f>IFERROR('Cash Flow Data'!K20,0)</f>
        <v>0</v>
      </c>
      <c r="J88" s="20">
        <f>IFERROR('Cash Flow Data'!L20,0)</f>
        <v>19</v>
      </c>
      <c r="K88" s="20">
        <f>IFERROR('Cash Flow Data'!M20,0)</f>
        <v>107</v>
      </c>
      <c r="L88" s="20">
        <f>IFERROR('Cash Flow Data'!N20,0)</f>
        <v>765</v>
      </c>
    </row>
    <row r="89" spans="2:13" x14ac:dyDescent="0.3">
      <c r="B89" t="s">
        <v>103</v>
      </c>
      <c r="C89" s="20">
        <f>IFERROR('Cash Flow Data'!E21,0)</f>
        <v>-111</v>
      </c>
      <c r="D89" s="20">
        <f>IFERROR('Cash Flow Data'!F21,0)</f>
        <v>0</v>
      </c>
      <c r="E89" s="20">
        <f>IFERROR('Cash Flow Data'!G21,0)</f>
        <v>0</v>
      </c>
      <c r="F89" s="20">
        <f>IFERROR('Cash Flow Data'!H21,0)</f>
        <v>-8</v>
      </c>
      <c r="G89" s="20">
        <f>IFERROR('Cash Flow Data'!I21,0)</f>
        <v>-27</v>
      </c>
      <c r="H89" s="20">
        <f>IFERROR('Cash Flow Data'!J21,0)</f>
        <v>0</v>
      </c>
      <c r="I89" s="20">
        <f>IFERROR('Cash Flow Data'!K21,0)</f>
        <v>-98</v>
      </c>
      <c r="J89" s="20">
        <f>IFERROR('Cash Flow Data'!L21,0)</f>
        <v>0</v>
      </c>
      <c r="K89" s="20">
        <f>IFERROR('Cash Flow Data'!M21,0)</f>
        <v>0</v>
      </c>
      <c r="L89" s="20">
        <f>IFERROR('Cash Flow Data'!N21,0)</f>
        <v>-688</v>
      </c>
    </row>
    <row r="90" spans="2:13" x14ac:dyDescent="0.3">
      <c r="B90" t="s">
        <v>104</v>
      </c>
      <c r="C90" s="20">
        <f>IFERROR('Cash Flow Data'!E22,0)</f>
        <v>0</v>
      </c>
      <c r="D90" s="20">
        <f>IFERROR('Cash Flow Data'!F22,0)</f>
        <v>0</v>
      </c>
      <c r="E90" s="20">
        <f>IFERROR('Cash Flow Data'!G22,0)</f>
        <v>0</v>
      </c>
      <c r="F90" s="20">
        <f>IFERROR('Cash Flow Data'!H22,0)</f>
        <v>0</v>
      </c>
      <c r="G90" s="20">
        <f>IFERROR('Cash Flow Data'!I22,0)</f>
        <v>0</v>
      </c>
      <c r="H90" s="20">
        <f>IFERROR('Cash Flow Data'!J22,0)</f>
        <v>0</v>
      </c>
      <c r="I90" s="20">
        <f>IFERROR('Cash Flow Data'!K22,0)</f>
        <v>0</v>
      </c>
      <c r="J90" s="20">
        <f>IFERROR('Cash Flow Data'!L22,0)</f>
        <v>0</v>
      </c>
      <c r="K90" s="20">
        <f>IFERROR('Cash Flow Data'!M22,0)</f>
        <v>-25</v>
      </c>
      <c r="L90" s="20">
        <f>IFERROR('Cash Flow Data'!N22,0)</f>
        <v>-20</v>
      </c>
    </row>
    <row r="91" spans="2:13" x14ac:dyDescent="0.3">
      <c r="B91" t="s">
        <v>105</v>
      </c>
      <c r="C91" s="20">
        <f>IFERROR('Cash Flow Data'!E23,0)</f>
        <v>-1289</v>
      </c>
      <c r="D91" s="20">
        <f>IFERROR('Cash Flow Data'!F23,0)</f>
        <v>-26663</v>
      </c>
      <c r="E91" s="20">
        <f>IFERROR('Cash Flow Data'!G23,0)</f>
        <v>5360</v>
      </c>
      <c r="F91" s="20">
        <f>IFERROR('Cash Flow Data'!H23,0)</f>
        <v>7335</v>
      </c>
      <c r="G91" s="20">
        <f>IFERROR('Cash Flow Data'!I23,0)</f>
        <v>-2659</v>
      </c>
      <c r="H91" s="20">
        <f>IFERROR('Cash Flow Data'!J23,0)</f>
        <v>1051</v>
      </c>
      <c r="I91" s="20">
        <f>IFERROR('Cash Flow Data'!K23,0)</f>
        <v>12813</v>
      </c>
      <c r="J91" s="20">
        <f>IFERROR('Cash Flow Data'!L23,0)</f>
        <v>-4357</v>
      </c>
      <c r="K91" s="20">
        <f>IFERROR('Cash Flow Data'!M23,0)</f>
        <v>-4817</v>
      </c>
      <c r="L91" s="20">
        <f>IFERROR('Cash Flow Data'!N23,0)</f>
        <v>-2889</v>
      </c>
    </row>
    <row r="92" spans="2:13" x14ac:dyDescent="0.3">
      <c r="B92" s="29" t="s">
        <v>118</v>
      </c>
      <c r="C92" s="31">
        <f>IFERROR(SUM(C81:C91),0)</f>
        <v>-36694</v>
      </c>
      <c r="D92" s="31">
        <f t="shared" ref="D92:L92" si="23">IFERROR(SUM(D81:D91),0)</f>
        <v>-39572</v>
      </c>
      <c r="E92" s="31">
        <f t="shared" si="23"/>
        <v>-25140</v>
      </c>
      <c r="F92" s="31">
        <f t="shared" si="23"/>
        <v>-20879</v>
      </c>
      <c r="G92" s="31">
        <f t="shared" si="23"/>
        <v>-33116</v>
      </c>
      <c r="H92" s="31">
        <f t="shared" si="23"/>
        <v>-25671</v>
      </c>
      <c r="I92" s="31">
        <f t="shared" si="23"/>
        <v>-4442</v>
      </c>
      <c r="J92" s="31">
        <f t="shared" si="23"/>
        <v>-15419</v>
      </c>
      <c r="K92" s="31">
        <f t="shared" si="23"/>
        <v>-22781</v>
      </c>
      <c r="L92" s="31">
        <f t="shared" si="23"/>
        <v>-49982</v>
      </c>
      <c r="M92" s="22"/>
    </row>
    <row r="94" spans="2:13" x14ac:dyDescent="0.3">
      <c r="B94" s="22" t="s">
        <v>119</v>
      </c>
    </row>
    <row r="95" spans="2:13" x14ac:dyDescent="0.3">
      <c r="B95" t="s">
        <v>107</v>
      </c>
      <c r="C95" s="20">
        <f>IFERROR('Cash Flow Data'!E25,0)</f>
        <v>7433</v>
      </c>
      <c r="D95" s="20">
        <f>IFERROR('Cash Flow Data'!F25,0)</f>
        <v>5</v>
      </c>
      <c r="E95" s="20">
        <f>IFERROR('Cash Flow Data'!G25,0)</f>
        <v>0</v>
      </c>
      <c r="F95" s="20">
        <f>IFERROR('Cash Flow Data'!H25,0)</f>
        <v>0</v>
      </c>
      <c r="G95" s="20">
        <f>IFERROR('Cash Flow Data'!I25,0)</f>
        <v>3889</v>
      </c>
      <c r="H95" s="20">
        <f>IFERROR('Cash Flow Data'!J25,0)</f>
        <v>2603</v>
      </c>
      <c r="I95" s="20">
        <f>IFERROR('Cash Flow Data'!K25,0)</f>
        <v>19</v>
      </c>
      <c r="J95" s="20">
        <f>IFERROR('Cash Flow Data'!L25,0)</f>
        <v>20</v>
      </c>
      <c r="K95" s="20">
        <f>IFERROR('Cash Flow Data'!M25,0)</f>
        <v>82</v>
      </c>
      <c r="L95" s="20">
        <f>IFERROR('Cash Flow Data'!N25,0)</f>
        <v>1108</v>
      </c>
    </row>
    <row r="96" spans="2:13" x14ac:dyDescent="0.3">
      <c r="B96" t="s">
        <v>108</v>
      </c>
      <c r="C96" s="20">
        <f>IFERROR('Cash Flow Data'!E26,0)</f>
        <v>0</v>
      </c>
      <c r="D96" s="20">
        <f>IFERROR('Cash Flow Data'!F26,0)</f>
        <v>0</v>
      </c>
      <c r="E96" s="20">
        <f>IFERROR('Cash Flow Data'!G26,0)</f>
        <v>0</v>
      </c>
      <c r="F96" s="20">
        <f>IFERROR('Cash Flow Data'!H26,0)</f>
        <v>0</v>
      </c>
      <c r="G96" s="20">
        <f>IFERROR('Cash Flow Data'!I26,0)</f>
        <v>0</v>
      </c>
      <c r="H96" s="20">
        <f>IFERROR('Cash Flow Data'!J26,0)</f>
        <v>0</v>
      </c>
      <c r="I96" s="20">
        <f>IFERROR('Cash Flow Data'!K26,0)</f>
        <v>0</v>
      </c>
      <c r="J96" s="20">
        <f>IFERROR('Cash Flow Data'!L26,0)</f>
        <v>0</v>
      </c>
      <c r="K96" s="20">
        <f>IFERROR('Cash Flow Data'!M26,0)</f>
        <v>0</v>
      </c>
      <c r="L96" s="20">
        <f>IFERROR('Cash Flow Data'!N26,0)</f>
        <v>0</v>
      </c>
    </row>
    <row r="97" spans="2:12" x14ac:dyDescent="0.3">
      <c r="B97" t="s">
        <v>109</v>
      </c>
      <c r="C97" s="20">
        <f>IFERROR('Cash Flow Data'!E27,0)</f>
        <v>19519</v>
      </c>
      <c r="D97" s="20">
        <f>IFERROR('Cash Flow Data'!F27,0)</f>
        <v>33390</v>
      </c>
      <c r="E97" s="20">
        <f>IFERROR('Cash Flow Data'!G27,0)</f>
        <v>37482</v>
      </c>
      <c r="F97" s="20">
        <f>IFERROR('Cash Flow Data'!H27,0)</f>
        <v>51128</v>
      </c>
      <c r="G97" s="20">
        <f>IFERROR('Cash Flow Data'!I27,0)</f>
        <v>38297</v>
      </c>
      <c r="H97" s="20">
        <f>IFERROR('Cash Flow Data'!J27,0)</f>
        <v>46641</v>
      </c>
      <c r="I97" s="20">
        <f>IFERROR('Cash Flow Data'!K27,0)</f>
        <v>46578</v>
      </c>
      <c r="J97" s="20">
        <f>IFERROR('Cash Flow Data'!L27,0)</f>
        <v>43934</v>
      </c>
      <c r="K97" s="20">
        <f>IFERROR('Cash Flow Data'!M27,0)</f>
        <v>18829</v>
      </c>
      <c r="L97" s="20">
        <f>IFERROR('Cash Flow Data'!N27,0)</f>
        <v>13384</v>
      </c>
    </row>
    <row r="98" spans="2:12" x14ac:dyDescent="0.3">
      <c r="B98" t="s">
        <v>110</v>
      </c>
      <c r="C98" s="20">
        <f>IFERROR('Cash Flow Data'!E28,0)</f>
        <v>-24924</v>
      </c>
      <c r="D98" s="20">
        <f>IFERROR('Cash Flow Data'!F28,0)</f>
        <v>-21732</v>
      </c>
      <c r="E98" s="20">
        <f>IFERROR('Cash Flow Data'!G28,0)</f>
        <v>-29964</v>
      </c>
      <c r="F98" s="20">
        <f>IFERROR('Cash Flow Data'!H28,0)</f>
        <v>-35198</v>
      </c>
      <c r="G98" s="20">
        <f>IFERROR('Cash Flow Data'!I28,0)</f>
        <v>-29847</v>
      </c>
      <c r="H98" s="20">
        <f>IFERROR('Cash Flow Data'!J28,0)</f>
        <v>-29709</v>
      </c>
      <c r="I98" s="20">
        <f>IFERROR('Cash Flow Data'!K28,0)</f>
        <v>-42816</v>
      </c>
      <c r="J98" s="20">
        <f>IFERROR('Cash Flow Data'!L28,0)</f>
        <v>-62557</v>
      </c>
      <c r="K98" s="20">
        <f>IFERROR('Cash Flow Data'!M28,0)</f>
        <v>-47414</v>
      </c>
      <c r="L98" s="20">
        <f>IFERROR('Cash Flow Data'!N28,0)</f>
        <v>-21443</v>
      </c>
    </row>
    <row r="99" spans="2:12" x14ac:dyDescent="0.3">
      <c r="B99" t="s">
        <v>111</v>
      </c>
      <c r="C99" s="20">
        <f>IFERROR('Cash Flow Data'!E29,0)</f>
        <v>-5716</v>
      </c>
      <c r="D99" s="20">
        <f>IFERROR('Cash Flow Data'!F29,0)</f>
        <v>-5336</v>
      </c>
      <c r="E99" s="20">
        <f>IFERROR('Cash Flow Data'!G29,0)</f>
        <v>-5411</v>
      </c>
      <c r="F99" s="20">
        <f>IFERROR('Cash Flow Data'!H29,0)</f>
        <v>-7005</v>
      </c>
      <c r="G99" s="20">
        <f>IFERROR('Cash Flow Data'!I29,0)</f>
        <v>-7518</v>
      </c>
      <c r="H99" s="20">
        <f>IFERROR('Cash Flow Data'!J29,0)</f>
        <v>-8123</v>
      </c>
      <c r="I99" s="20">
        <f>IFERROR('Cash Flow Data'!K29,0)</f>
        <v>-9251</v>
      </c>
      <c r="J99" s="20">
        <f>IFERROR('Cash Flow Data'!L29,0)</f>
        <v>-9336</v>
      </c>
      <c r="K99" s="20">
        <f>IFERROR('Cash Flow Data'!M29,0)</f>
        <v>-9332</v>
      </c>
      <c r="L99" s="20">
        <f>IFERROR('Cash Flow Data'!N29,0)</f>
        <v>-5814</v>
      </c>
    </row>
    <row r="100" spans="2:12" x14ac:dyDescent="0.3">
      <c r="B100" t="s">
        <v>112</v>
      </c>
      <c r="C100" s="20">
        <f>IFERROR('Cash Flow Data'!E30,0)</f>
        <v>-108</v>
      </c>
      <c r="D100" s="20">
        <f>IFERROR('Cash Flow Data'!F30,0)</f>
        <v>-121</v>
      </c>
      <c r="E100" s="20">
        <f>IFERROR('Cash Flow Data'!G30,0)</f>
        <v>-96</v>
      </c>
      <c r="F100" s="20">
        <f>IFERROR('Cash Flow Data'!H30,0)</f>
        <v>-95</v>
      </c>
      <c r="G100" s="20">
        <f>IFERROR('Cash Flow Data'!I30,0)</f>
        <v>-57</v>
      </c>
      <c r="H100" s="20">
        <f>IFERROR('Cash Flow Data'!J30,0)</f>
        <v>-30</v>
      </c>
      <c r="I100" s="20">
        <f>IFERROR('Cash Flow Data'!K30,0)</f>
        <v>-100</v>
      </c>
      <c r="J100" s="20">
        <f>IFERROR('Cash Flow Data'!L30,0)</f>
        <v>-141</v>
      </c>
      <c r="K100" s="20">
        <f>IFERROR('Cash Flow Data'!M30,0)</f>
        <v>-1059</v>
      </c>
      <c r="L100" s="20">
        <f>IFERROR('Cash Flow Data'!N30,0)</f>
        <v>-2492</v>
      </c>
    </row>
    <row r="101" spans="2:12" x14ac:dyDescent="0.3">
      <c r="B101" t="s">
        <v>113</v>
      </c>
      <c r="C101" s="20">
        <f>IFERROR('Cash Flow Data'!E31,0)</f>
        <v>0</v>
      </c>
      <c r="D101" s="20">
        <f>IFERROR('Cash Flow Data'!F31,0)</f>
        <v>0</v>
      </c>
      <c r="E101" s="20">
        <f>IFERROR('Cash Flow Data'!G31,0)</f>
        <v>0</v>
      </c>
      <c r="F101" s="20">
        <f>IFERROR('Cash Flow Data'!H31,0)</f>
        <v>0</v>
      </c>
      <c r="G101" s="20">
        <f>IFERROR('Cash Flow Data'!I31,0)</f>
        <v>-1346</v>
      </c>
      <c r="H101" s="20">
        <f>IFERROR('Cash Flow Data'!J31,0)</f>
        <v>-1477</v>
      </c>
      <c r="I101" s="20">
        <f>IFERROR('Cash Flow Data'!K31,0)</f>
        <v>-1559</v>
      </c>
      <c r="J101" s="20">
        <f>IFERROR('Cash Flow Data'!L31,0)</f>
        <v>-1517</v>
      </c>
      <c r="K101" s="20">
        <f>IFERROR('Cash Flow Data'!M31,0)</f>
        <v>-1924</v>
      </c>
      <c r="L101" s="20">
        <f>IFERROR('Cash Flow Data'!N31,0)</f>
        <v>-2393</v>
      </c>
    </row>
    <row r="102" spans="2:12" x14ac:dyDescent="0.3">
      <c r="B102" t="s">
        <v>114</v>
      </c>
      <c r="C102" s="20">
        <f>IFERROR('Cash Flow Data'!E32,0)</f>
        <v>0</v>
      </c>
      <c r="D102" s="20">
        <f>IFERROR('Cash Flow Data'!F32,0)</f>
        <v>0</v>
      </c>
      <c r="E102" s="20">
        <f>IFERROR('Cash Flow Data'!G32,0)</f>
        <v>0</v>
      </c>
      <c r="F102" s="20">
        <f>IFERROR('Cash Flow Data'!H32,0)</f>
        <v>0</v>
      </c>
      <c r="G102" s="20">
        <f>IFERROR('Cash Flow Data'!I32,0)</f>
        <v>-29</v>
      </c>
      <c r="H102" s="20">
        <f>IFERROR('Cash Flow Data'!J32,0)</f>
        <v>0</v>
      </c>
      <c r="I102" s="20">
        <f>IFERROR('Cash Flow Data'!K32,0)</f>
        <v>3750</v>
      </c>
      <c r="J102" s="20">
        <f>IFERROR('Cash Flow Data'!L32,0)</f>
        <v>3355</v>
      </c>
      <c r="K102" s="20">
        <f>IFERROR('Cash Flow Data'!M32,0)</f>
        <v>3812</v>
      </c>
      <c r="L102" s="20">
        <f>IFERROR('Cash Flow Data'!N32,0)</f>
        <v>-1136</v>
      </c>
    </row>
    <row r="103" spans="2:12" x14ac:dyDescent="0.3">
      <c r="B103" s="29" t="s">
        <v>120</v>
      </c>
      <c r="C103" s="31">
        <f>IFERROR(SUM(C95:C102),0)</f>
        <v>-3796</v>
      </c>
      <c r="D103" s="31">
        <f t="shared" ref="D103:L103" si="24">IFERROR(SUM(D95:D102),0)</f>
        <v>6206</v>
      </c>
      <c r="E103" s="31">
        <f t="shared" si="24"/>
        <v>2011</v>
      </c>
      <c r="F103" s="31">
        <f t="shared" si="24"/>
        <v>8830</v>
      </c>
      <c r="G103" s="31">
        <f t="shared" si="24"/>
        <v>3389</v>
      </c>
      <c r="H103" s="31">
        <f t="shared" si="24"/>
        <v>9905</v>
      </c>
      <c r="I103" s="31">
        <f t="shared" si="24"/>
        <v>-3379</v>
      </c>
      <c r="J103" s="31">
        <f t="shared" si="24"/>
        <v>-26242</v>
      </c>
      <c r="K103" s="31">
        <f t="shared" si="24"/>
        <v>-37006</v>
      </c>
      <c r="L103" s="31">
        <f t="shared" si="24"/>
        <v>-18786</v>
      </c>
    </row>
    <row r="105" spans="2:12" x14ac:dyDescent="0.3">
      <c r="B105" s="29" t="s">
        <v>50</v>
      </c>
      <c r="C105" s="31">
        <f>IFERROR(C78+C92+C103,0)</f>
        <v>-1278</v>
      </c>
      <c r="D105" s="31">
        <f t="shared" ref="D105:L105" si="25">IFERROR(D78+D92+D103,0)</f>
        <v>88</v>
      </c>
      <c r="E105" s="31">
        <f t="shared" si="25"/>
        <v>-5706</v>
      </c>
      <c r="F105" s="31">
        <f t="shared" si="25"/>
        <v>-378</v>
      </c>
      <c r="G105" s="31">
        <f t="shared" si="25"/>
        <v>1971</v>
      </c>
      <c r="H105" s="31">
        <f t="shared" si="25"/>
        <v>13141</v>
      </c>
      <c r="I105" s="31">
        <f t="shared" si="25"/>
        <v>-4289</v>
      </c>
      <c r="J105" s="31">
        <f t="shared" si="25"/>
        <v>-9400</v>
      </c>
      <c r="K105" s="31">
        <f t="shared" si="25"/>
        <v>15453</v>
      </c>
      <c r="L105" s="31">
        <f t="shared" si="25"/>
        <v>2490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:L2"/>
  </mergeCells>
  <pageMargins left="0.7" right="0.7" top="0.75" bottom="0.75" header="0.3" footer="0.3"/>
  <ignoredErrors>
    <ignoredError sqref="C15:L15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20D4-7CED-4E49-9055-703E5FFCBEEC}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4489-7412-439A-BBB8-816FBA4F071B}">
  <dimension ref="A1:K93"/>
  <sheetViews>
    <sheetView showGridLines="0" zoomScale="120" zoomScaleNormal="12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E38" sqref="E38"/>
    </sheetView>
  </sheetViews>
  <sheetFormatPr defaultColWidth="8.77734375" defaultRowHeight="14.4" x14ac:dyDescent="0.3"/>
  <cols>
    <col min="1" max="1" width="27.6640625" style="2" bestFit="1" customWidth="1"/>
    <col min="2" max="11" width="13.44140625" style="2" bestFit="1" customWidth="1"/>
    <col min="12" max="16384" width="8.77734375" style="2"/>
  </cols>
  <sheetData>
    <row r="1" spans="1:11" s="1" customFormat="1" x14ac:dyDescent="0.3">
      <c r="A1" s="1" t="s">
        <v>0</v>
      </c>
      <c r="B1" s="1" t="s">
        <v>1</v>
      </c>
      <c r="E1" s="154" t="str">
        <f>IF(B2&lt;&gt;B3, "A NEW VERSION OF THE WORKSHEET IS AVAILABLE", "")</f>
        <v/>
      </c>
      <c r="F1" s="154"/>
      <c r="G1" s="154"/>
      <c r="H1" s="154"/>
      <c r="I1" s="154"/>
      <c r="J1" s="154"/>
      <c r="K1" s="154"/>
    </row>
    <row r="2" spans="1:11" x14ac:dyDescent="0.3">
      <c r="A2" s="1" t="s">
        <v>2</v>
      </c>
      <c r="B2" s="2">
        <v>2.1</v>
      </c>
      <c r="E2" s="155" t="s">
        <v>3</v>
      </c>
      <c r="F2" s="155"/>
      <c r="G2" s="155"/>
      <c r="H2" s="155"/>
      <c r="I2" s="155"/>
      <c r="J2" s="155"/>
      <c r="K2" s="155"/>
    </row>
    <row r="3" spans="1:11" x14ac:dyDescent="0.3">
      <c r="A3" s="1" t="s">
        <v>4</v>
      </c>
      <c r="B3" s="2">
        <v>2.1</v>
      </c>
    </row>
    <row r="4" spans="1:11" x14ac:dyDescent="0.3">
      <c r="A4" s="1"/>
    </row>
    <row r="5" spans="1:11" x14ac:dyDescent="0.3">
      <c r="A5" s="1" t="s">
        <v>5</v>
      </c>
    </row>
    <row r="6" spans="1:11" x14ac:dyDescent="0.3">
      <c r="A6" s="2" t="s">
        <v>6</v>
      </c>
      <c r="B6" s="2">
        <f>IF(B9&gt;0, B9/B8, 0)</f>
        <v>95.919776701748759</v>
      </c>
    </row>
    <row r="7" spans="1:11" x14ac:dyDescent="0.3">
      <c r="A7" s="2" t="s">
        <v>7</v>
      </c>
      <c r="B7" s="3">
        <v>1</v>
      </c>
    </row>
    <row r="8" spans="1:11" x14ac:dyDescent="0.3">
      <c r="A8" s="2" t="s">
        <v>8</v>
      </c>
      <c r="B8" s="3">
        <v>2498.9</v>
      </c>
    </row>
    <row r="9" spans="1:11" x14ac:dyDescent="0.3">
      <c r="A9" s="2" t="s">
        <v>9</v>
      </c>
      <c r="B9" s="3">
        <v>239693.93</v>
      </c>
    </row>
    <row r="15" spans="1:11" x14ac:dyDescent="0.3">
      <c r="A15" s="1" t="s">
        <v>10</v>
      </c>
    </row>
    <row r="16" spans="1:11" s="6" customFormat="1" x14ac:dyDescent="0.3">
      <c r="A16" s="4" t="s">
        <v>11</v>
      </c>
      <c r="B16" s="5">
        <v>42460</v>
      </c>
      <c r="C16" s="5">
        <v>42825</v>
      </c>
      <c r="D16" s="5">
        <v>43190</v>
      </c>
      <c r="E16" s="5">
        <v>43555</v>
      </c>
      <c r="F16" s="5">
        <v>43921</v>
      </c>
      <c r="G16" s="5">
        <v>44286</v>
      </c>
      <c r="H16" s="5">
        <v>44651</v>
      </c>
      <c r="I16" s="5">
        <v>45016</v>
      </c>
      <c r="J16" s="5">
        <v>45382</v>
      </c>
      <c r="K16" s="5">
        <v>45747</v>
      </c>
    </row>
    <row r="17" spans="1:11" s="7" customFormat="1" x14ac:dyDescent="0.3">
      <c r="A17" s="7" t="s">
        <v>12</v>
      </c>
      <c r="B17" s="3">
        <v>14271.49</v>
      </c>
      <c r="C17" s="3">
        <v>15061.99</v>
      </c>
      <c r="D17" s="3">
        <v>16824.55</v>
      </c>
      <c r="E17" s="3">
        <v>19240.13</v>
      </c>
      <c r="F17" s="3">
        <v>20211.25</v>
      </c>
      <c r="G17" s="3">
        <v>21712.79</v>
      </c>
      <c r="H17" s="3">
        <v>29101.279999999999</v>
      </c>
      <c r="I17" s="3">
        <v>34488.589999999997</v>
      </c>
      <c r="J17" s="3">
        <v>35494.730000000003</v>
      </c>
      <c r="K17" s="3">
        <v>33905.620000000003</v>
      </c>
    </row>
    <row r="18" spans="1:11" s="7" customFormat="1" x14ac:dyDescent="0.3">
      <c r="A18" s="2" t="s">
        <v>13</v>
      </c>
      <c r="B18" s="3">
        <v>6569.83</v>
      </c>
      <c r="C18" s="3">
        <v>7452.6</v>
      </c>
      <c r="D18" s="3">
        <v>8128.17</v>
      </c>
      <c r="E18" s="3">
        <v>9974.4</v>
      </c>
      <c r="F18" s="3">
        <v>9981.99</v>
      </c>
      <c r="G18" s="3">
        <v>10425.549999999999</v>
      </c>
      <c r="H18" s="3">
        <v>17123.25</v>
      </c>
      <c r="I18" s="3">
        <v>18985.53</v>
      </c>
      <c r="J18" s="3">
        <v>17410.84</v>
      </c>
      <c r="K18" s="3">
        <v>17504.509999999998</v>
      </c>
    </row>
    <row r="19" spans="1:11" s="7" customFormat="1" x14ac:dyDescent="0.3">
      <c r="A19" s="2" t="s">
        <v>14</v>
      </c>
      <c r="B19" s="3">
        <v>-199.33</v>
      </c>
      <c r="C19" s="3">
        <v>528.6</v>
      </c>
      <c r="D19" s="3">
        <v>-142.13</v>
      </c>
      <c r="E19" s="3">
        <v>293.26</v>
      </c>
      <c r="F19" s="3">
        <v>239.15</v>
      </c>
      <c r="G19" s="3">
        <v>92.45</v>
      </c>
      <c r="H19" s="3">
        <v>1324.97</v>
      </c>
      <c r="I19" s="3">
        <v>309.73</v>
      </c>
      <c r="J19" s="3">
        <v>-363.8</v>
      </c>
      <c r="K19" s="3">
        <v>205</v>
      </c>
    </row>
    <row r="20" spans="1:11" s="7" customFormat="1" x14ac:dyDescent="0.3">
      <c r="A20" s="2" t="s">
        <v>15</v>
      </c>
      <c r="B20" s="3">
        <v>114.48</v>
      </c>
      <c r="C20" s="3">
        <v>106.02</v>
      </c>
      <c r="D20" s="3">
        <v>110.3</v>
      </c>
      <c r="E20" s="3">
        <v>119.63</v>
      </c>
      <c r="F20" s="3">
        <v>97.79</v>
      </c>
      <c r="G20" s="3">
        <v>86.05</v>
      </c>
      <c r="H20" s="3">
        <v>117.23</v>
      </c>
      <c r="I20" s="3">
        <v>138.29</v>
      </c>
      <c r="J20" s="3">
        <v>133.25</v>
      </c>
      <c r="K20" s="3">
        <v>148.58000000000001</v>
      </c>
    </row>
    <row r="21" spans="1:11" s="7" customFormat="1" x14ac:dyDescent="0.3">
      <c r="A21" s="2" t="s">
        <v>16</v>
      </c>
      <c r="B21" s="3">
        <v>1535.22</v>
      </c>
      <c r="C21" s="3">
        <v>1662.75</v>
      </c>
      <c r="D21" s="3">
        <v>1691.68</v>
      </c>
      <c r="E21" s="3">
        <v>1862.35</v>
      </c>
      <c r="F21" s="3">
        <v>1946.12</v>
      </c>
      <c r="G21" s="3">
        <v>2068.31</v>
      </c>
      <c r="H21" s="3">
        <v>2880.45</v>
      </c>
      <c r="I21" s="3">
        <v>2916.2</v>
      </c>
      <c r="J21" s="3">
        <v>2767.18</v>
      </c>
      <c r="K21" s="3">
        <v>2687.4</v>
      </c>
    </row>
    <row r="22" spans="1:11" s="7" customFormat="1" x14ac:dyDescent="0.3">
      <c r="A22" s="2" t="s">
        <v>17</v>
      </c>
      <c r="B22" s="3">
        <v>994.98</v>
      </c>
      <c r="C22" s="3">
        <v>1039.8900000000001</v>
      </c>
      <c r="D22" s="3">
        <v>1121.8900000000001</v>
      </c>
      <c r="E22" s="3">
        <v>1242.69</v>
      </c>
      <c r="F22" s="3">
        <v>1371.27</v>
      </c>
      <c r="G22" s="3">
        <v>1547.61</v>
      </c>
      <c r="H22" s="3">
        <v>1794.61</v>
      </c>
      <c r="I22" s="3">
        <v>2036.41</v>
      </c>
      <c r="J22" s="3">
        <v>2334.92</v>
      </c>
      <c r="K22" s="3">
        <v>2605.7800000000002</v>
      </c>
    </row>
    <row r="23" spans="1:11" s="7" customFormat="1" x14ac:dyDescent="0.3">
      <c r="A23" s="2" t="s">
        <v>18</v>
      </c>
      <c r="B23" s="3">
        <v>3912.3</v>
      </c>
      <c r="C23" s="3">
        <v>4364.04</v>
      </c>
      <c r="D23" s="3">
        <v>2254.92</v>
      </c>
      <c r="E23" s="3">
        <v>2366.87</v>
      </c>
      <c r="F23" s="3">
        <v>2311.5100000000002</v>
      </c>
      <c r="G23" s="3">
        <v>2245.69</v>
      </c>
      <c r="H23" s="3">
        <v>2941.98</v>
      </c>
      <c r="I23" s="3">
        <v>3500.84</v>
      </c>
      <c r="J23" s="3">
        <v>3811.86</v>
      </c>
      <c r="K23" s="3">
        <v>3874.94</v>
      </c>
    </row>
    <row r="24" spans="1:11" s="7" customFormat="1" x14ac:dyDescent="0.3">
      <c r="A24" s="2" t="s">
        <v>19</v>
      </c>
      <c r="B24" s="3">
        <v>-1779.69</v>
      </c>
      <c r="C24" s="3">
        <v>-2028.47</v>
      </c>
      <c r="D24" s="3">
        <v>171.45</v>
      </c>
      <c r="E24" s="3">
        <v>202.51</v>
      </c>
      <c r="F24" s="3">
        <v>584.9</v>
      </c>
      <c r="G24" s="3">
        <v>576.42999999999995</v>
      </c>
      <c r="H24" s="3">
        <v>765.12</v>
      </c>
      <c r="I24" s="3">
        <v>961.21</v>
      </c>
      <c r="J24" s="3">
        <v>1087.9000000000001</v>
      </c>
      <c r="K24" s="3">
        <v>1283.2</v>
      </c>
    </row>
    <row r="25" spans="1:11" s="7" customFormat="1" x14ac:dyDescent="0.3">
      <c r="A25" s="7" t="s">
        <v>20</v>
      </c>
      <c r="B25" s="3">
        <v>213.39</v>
      </c>
      <c r="C25" s="3">
        <v>337.9</v>
      </c>
      <c r="D25" s="3">
        <v>336.41</v>
      </c>
      <c r="E25" s="3">
        <v>273.77</v>
      </c>
      <c r="F25" s="3">
        <v>355.05</v>
      </c>
      <c r="G25" s="3">
        <v>331.65</v>
      </c>
      <c r="H25" s="3">
        <v>295.88</v>
      </c>
      <c r="I25" s="3">
        <v>431.46</v>
      </c>
      <c r="J25" s="3">
        <v>820.96</v>
      </c>
      <c r="K25" s="3">
        <v>350.22</v>
      </c>
    </row>
    <row r="26" spans="1:11" s="7" customFormat="1" x14ac:dyDescent="0.3">
      <c r="A26" s="7" t="s">
        <v>21</v>
      </c>
      <c r="B26" s="3">
        <v>275.58</v>
      </c>
      <c r="C26" s="3">
        <v>334.79</v>
      </c>
      <c r="D26" s="3">
        <v>360.47</v>
      </c>
      <c r="E26" s="3">
        <v>622.14</v>
      </c>
      <c r="F26" s="3">
        <v>780.5</v>
      </c>
      <c r="G26" s="3">
        <v>791.27</v>
      </c>
      <c r="H26" s="3">
        <v>816.36</v>
      </c>
      <c r="I26" s="3">
        <v>858.02</v>
      </c>
      <c r="J26" s="3">
        <v>853</v>
      </c>
      <c r="K26" s="3">
        <v>1026.3399999999999</v>
      </c>
    </row>
    <row r="27" spans="1:11" s="7" customFormat="1" x14ac:dyDescent="0.3">
      <c r="A27" s="7" t="s">
        <v>22</v>
      </c>
      <c r="B27" s="3">
        <v>49</v>
      </c>
      <c r="C27" s="3">
        <v>37.33</v>
      </c>
      <c r="D27" s="3">
        <v>41.47</v>
      </c>
      <c r="E27" s="3">
        <v>110.47</v>
      </c>
      <c r="F27" s="3">
        <v>102.33</v>
      </c>
      <c r="G27" s="3">
        <v>91.63</v>
      </c>
      <c r="H27" s="3">
        <v>95.41</v>
      </c>
      <c r="I27" s="3">
        <v>144.44999999999999</v>
      </c>
      <c r="J27" s="3">
        <v>205.17</v>
      </c>
      <c r="K27" s="3">
        <v>227.02</v>
      </c>
    </row>
    <row r="28" spans="1:11" s="7" customFormat="1" x14ac:dyDescent="0.3">
      <c r="A28" s="7" t="s">
        <v>23</v>
      </c>
      <c r="B28" s="3">
        <v>2613.85</v>
      </c>
      <c r="C28" s="3">
        <v>2959.54</v>
      </c>
      <c r="D28" s="3">
        <v>3138.48</v>
      </c>
      <c r="E28" s="3">
        <v>3306.1</v>
      </c>
      <c r="F28" s="3">
        <v>3629.04</v>
      </c>
      <c r="G28" s="3">
        <v>4304.3500000000004</v>
      </c>
      <c r="H28" s="3">
        <v>4187.72</v>
      </c>
      <c r="I28" s="3">
        <v>5688.83</v>
      </c>
      <c r="J28" s="3">
        <v>7347.77</v>
      </c>
      <c r="K28" s="3">
        <v>5103.07</v>
      </c>
    </row>
    <row r="29" spans="1:11" s="7" customFormat="1" x14ac:dyDescent="0.3">
      <c r="A29" s="7" t="s">
        <v>24</v>
      </c>
      <c r="B29" s="3">
        <v>844.49</v>
      </c>
      <c r="C29" s="3">
        <v>943.29</v>
      </c>
      <c r="D29" s="3">
        <v>1040.96</v>
      </c>
      <c r="E29" s="3">
        <v>1098.06</v>
      </c>
      <c r="F29" s="3">
        <v>854.85</v>
      </c>
      <c r="G29" s="3">
        <v>1097.5999999999999</v>
      </c>
      <c r="H29" s="3">
        <v>1102.9100000000001</v>
      </c>
      <c r="I29" s="3">
        <v>1493.5</v>
      </c>
      <c r="J29" s="3">
        <v>1790.08</v>
      </c>
      <c r="K29" s="3">
        <v>1393.36</v>
      </c>
    </row>
    <row r="30" spans="1:11" s="7" customFormat="1" x14ac:dyDescent="0.3">
      <c r="A30" s="7" t="s">
        <v>25</v>
      </c>
      <c r="B30" s="3">
        <v>1745.16</v>
      </c>
      <c r="C30" s="3">
        <v>1939.43</v>
      </c>
      <c r="D30" s="3">
        <v>2038.93</v>
      </c>
      <c r="E30" s="3">
        <v>2155.92</v>
      </c>
      <c r="F30" s="3">
        <v>2705.17</v>
      </c>
      <c r="G30" s="3">
        <v>3139.29</v>
      </c>
      <c r="H30" s="3">
        <v>3030.57</v>
      </c>
      <c r="I30" s="3">
        <v>4106.45</v>
      </c>
      <c r="J30" s="3">
        <v>5460.23</v>
      </c>
      <c r="K30" s="3">
        <v>3667.23</v>
      </c>
    </row>
    <row r="31" spans="1:11" s="7" customFormat="1" x14ac:dyDescent="0.3">
      <c r="A31" s="7" t="s">
        <v>26</v>
      </c>
      <c r="B31" s="3">
        <v>719.4</v>
      </c>
      <c r="C31">
        <v>987.98</v>
      </c>
      <c r="D31">
        <v>834.5</v>
      </c>
      <c r="E31">
        <v>1007.16</v>
      </c>
      <c r="F31">
        <v>1151.04</v>
      </c>
      <c r="G31">
        <v>1712.17</v>
      </c>
      <c r="H31">
        <v>1836.87</v>
      </c>
      <c r="I31" s="3">
        <v>2460.35</v>
      </c>
      <c r="J31" s="3">
        <v>3194.14</v>
      </c>
      <c r="K31" s="3">
        <v>2378.8200000000002</v>
      </c>
    </row>
    <row r="32" spans="1:11" s="7" customFormat="1" x14ac:dyDescent="0.3"/>
    <row r="34" spans="1:11" x14ac:dyDescent="0.3">
      <c r="A34" s="7"/>
    </row>
    <row r="35" spans="1:11" x14ac:dyDescent="0.3">
      <c r="A35" s="7"/>
    </row>
    <row r="36" spans="1:11" x14ac:dyDescent="0.3">
      <c r="A36" s="7"/>
    </row>
    <row r="37" spans="1:11" x14ac:dyDescent="0.3">
      <c r="A37" s="7"/>
    </row>
    <row r="38" spans="1:11" x14ac:dyDescent="0.3">
      <c r="A38" s="7"/>
    </row>
    <row r="39" spans="1:11" x14ac:dyDescent="0.3">
      <c r="A39" s="7"/>
    </row>
    <row r="40" spans="1:11" x14ac:dyDescent="0.3">
      <c r="A40" s="1" t="s">
        <v>27</v>
      </c>
    </row>
    <row r="41" spans="1:11" s="6" customFormat="1" x14ac:dyDescent="0.3">
      <c r="A41" s="4" t="s">
        <v>11</v>
      </c>
      <c r="B41" s="5">
        <v>44926</v>
      </c>
      <c r="C41" s="5">
        <v>45016</v>
      </c>
      <c r="D41" s="5">
        <v>45107</v>
      </c>
      <c r="E41" s="5">
        <v>45199</v>
      </c>
      <c r="F41" s="5">
        <v>45291</v>
      </c>
      <c r="G41" s="5">
        <v>45382</v>
      </c>
      <c r="H41" s="5">
        <v>45473</v>
      </c>
      <c r="I41" s="5">
        <v>45565</v>
      </c>
      <c r="J41" s="5">
        <v>45657</v>
      </c>
      <c r="K41" s="5">
        <v>45747</v>
      </c>
    </row>
    <row r="42" spans="1:11" s="7" customFormat="1" x14ac:dyDescent="0.3">
      <c r="A42" s="7" t="s">
        <v>12</v>
      </c>
      <c r="B42" s="3">
        <v>8636.74</v>
      </c>
      <c r="C42" s="3">
        <v>8787.34</v>
      </c>
      <c r="D42" s="3">
        <v>9182.31</v>
      </c>
      <c r="E42" s="3">
        <v>8478.57</v>
      </c>
      <c r="F42" s="3">
        <v>9103.09</v>
      </c>
      <c r="G42" s="3">
        <v>8730.76</v>
      </c>
      <c r="H42" s="3">
        <v>8969.73</v>
      </c>
      <c r="I42" s="3">
        <v>8027.54</v>
      </c>
      <c r="J42" s="3">
        <v>8549.44</v>
      </c>
      <c r="K42" s="3">
        <v>8358.91</v>
      </c>
    </row>
    <row r="43" spans="1:11" s="7" customFormat="1" x14ac:dyDescent="0.3">
      <c r="A43" s="7" t="s">
        <v>28</v>
      </c>
      <c r="B43" s="3">
        <v>7025.31</v>
      </c>
      <c r="C43" s="3">
        <v>6922.58</v>
      </c>
      <c r="D43" s="3">
        <v>7061.02</v>
      </c>
      <c r="E43" s="3">
        <v>6762.34</v>
      </c>
      <c r="F43" s="3">
        <v>7047</v>
      </c>
      <c r="G43" s="3">
        <v>7039.39</v>
      </c>
      <c r="H43" s="3">
        <v>7275.96</v>
      </c>
      <c r="I43" s="3">
        <v>6788.03</v>
      </c>
      <c r="J43" s="3">
        <v>6912.71</v>
      </c>
      <c r="K43" s="3">
        <v>6922.71</v>
      </c>
    </row>
    <row r="44" spans="1:11" s="7" customFormat="1" x14ac:dyDescent="0.3">
      <c r="A44" s="7" t="s">
        <v>20</v>
      </c>
      <c r="B44" s="3">
        <v>122.21</v>
      </c>
      <c r="C44" s="3">
        <v>104.17</v>
      </c>
      <c r="D44" s="3">
        <v>227.74</v>
      </c>
      <c r="E44" s="3">
        <v>194.33</v>
      </c>
      <c r="F44" s="3">
        <v>186.46</v>
      </c>
      <c r="G44" s="3">
        <v>212.43</v>
      </c>
      <c r="H44" s="3">
        <v>192.93</v>
      </c>
      <c r="I44" s="3">
        <v>24.53</v>
      </c>
      <c r="J44" s="3">
        <v>192.82</v>
      </c>
      <c r="K44" s="3">
        <v>-60.06</v>
      </c>
    </row>
    <row r="45" spans="1:11" s="7" customFormat="1" x14ac:dyDescent="0.3">
      <c r="A45" s="7" t="s">
        <v>21</v>
      </c>
      <c r="B45" s="3">
        <v>214.05</v>
      </c>
      <c r="C45" s="3">
        <v>220.17</v>
      </c>
      <c r="D45" s="3">
        <v>198.32</v>
      </c>
      <c r="E45" s="3">
        <v>208.72</v>
      </c>
      <c r="F45" s="3">
        <v>220.35</v>
      </c>
      <c r="G45" s="3">
        <v>225.61</v>
      </c>
      <c r="H45" s="3">
        <v>227.7</v>
      </c>
      <c r="I45" s="3">
        <v>241.99</v>
      </c>
      <c r="J45" s="3">
        <v>255.55</v>
      </c>
      <c r="K45" s="3">
        <v>301.10000000000002</v>
      </c>
    </row>
    <row r="46" spans="1:11" s="7" customFormat="1" x14ac:dyDescent="0.3">
      <c r="A46" s="7" t="s">
        <v>22</v>
      </c>
      <c r="B46" s="3">
        <v>41.39</v>
      </c>
      <c r="C46" s="3">
        <v>38.909999999999997</v>
      </c>
      <c r="D46" s="3">
        <v>45.75</v>
      </c>
      <c r="E46" s="3">
        <v>50.9</v>
      </c>
      <c r="F46" s="3">
        <v>54.42</v>
      </c>
      <c r="G46" s="3">
        <v>54.1</v>
      </c>
      <c r="H46" s="3">
        <v>55.38</v>
      </c>
      <c r="I46" s="3">
        <v>63.01</v>
      </c>
      <c r="J46" s="3">
        <v>55.84</v>
      </c>
      <c r="K46" s="3">
        <v>52.79</v>
      </c>
    </row>
    <row r="47" spans="1:11" s="7" customFormat="1" x14ac:dyDescent="0.3">
      <c r="A47" s="7" t="s">
        <v>23</v>
      </c>
      <c r="B47" s="3">
        <v>1478.2</v>
      </c>
      <c r="C47" s="3">
        <v>1709.85</v>
      </c>
      <c r="D47" s="3">
        <v>2104.96</v>
      </c>
      <c r="E47" s="3">
        <v>1650.94</v>
      </c>
      <c r="F47" s="3">
        <v>1967.78</v>
      </c>
      <c r="G47" s="3">
        <v>1624.09</v>
      </c>
      <c r="H47" s="3">
        <v>1603.62</v>
      </c>
      <c r="I47" s="3">
        <v>959.04</v>
      </c>
      <c r="J47" s="3">
        <v>1518.16</v>
      </c>
      <c r="K47" s="3">
        <v>1022.25</v>
      </c>
    </row>
    <row r="48" spans="1:11" s="7" customFormat="1" x14ac:dyDescent="0.3">
      <c r="A48" s="7" t="s">
        <v>24</v>
      </c>
      <c r="B48" s="3">
        <v>381.14</v>
      </c>
      <c r="C48" s="3">
        <v>451.44</v>
      </c>
      <c r="D48" s="3">
        <v>530.12</v>
      </c>
      <c r="E48" s="3">
        <v>418.55</v>
      </c>
      <c r="F48" s="3">
        <v>492.62</v>
      </c>
      <c r="G48" s="3">
        <v>348.79</v>
      </c>
      <c r="H48" s="3">
        <v>416.83</v>
      </c>
      <c r="I48" s="3">
        <v>265.38</v>
      </c>
      <c r="J48" s="3">
        <v>389.73</v>
      </c>
      <c r="K48" s="3">
        <v>321.42</v>
      </c>
    </row>
    <row r="49" spans="1:11" s="7" customFormat="1" x14ac:dyDescent="0.3">
      <c r="A49" s="7" t="s">
        <v>25</v>
      </c>
      <c r="B49" s="3">
        <v>1072.67</v>
      </c>
      <c r="C49" s="3">
        <v>1234.1400000000001</v>
      </c>
      <c r="D49" s="3">
        <v>1550.37</v>
      </c>
      <c r="E49" s="3">
        <v>1205.42</v>
      </c>
      <c r="F49" s="3">
        <v>1447.72</v>
      </c>
      <c r="G49" s="3">
        <v>1256.72</v>
      </c>
      <c r="H49" s="3">
        <v>1169.98</v>
      </c>
      <c r="I49" s="3">
        <v>694.64</v>
      </c>
      <c r="J49" s="3">
        <v>1110.48</v>
      </c>
      <c r="K49" s="3">
        <v>692.13</v>
      </c>
    </row>
    <row r="50" spans="1:11" x14ac:dyDescent="0.3">
      <c r="A50" s="7" t="s">
        <v>29</v>
      </c>
      <c r="B50" s="3">
        <v>1611.43</v>
      </c>
      <c r="C50" s="3">
        <v>1864.76</v>
      </c>
      <c r="D50" s="3">
        <v>2121.29</v>
      </c>
      <c r="E50" s="3">
        <v>1716.23</v>
      </c>
      <c r="F50" s="3">
        <v>2056.09</v>
      </c>
      <c r="G50" s="3">
        <v>1691.37</v>
      </c>
      <c r="H50" s="3">
        <v>1693.77</v>
      </c>
      <c r="I50" s="3">
        <v>1239.51</v>
      </c>
      <c r="J50" s="3">
        <v>1636.73</v>
      </c>
      <c r="K50" s="3">
        <v>1436.2</v>
      </c>
    </row>
    <row r="51" spans="1:11" x14ac:dyDescent="0.3">
      <c r="A51" s="7"/>
    </row>
    <row r="53" spans="1:11" x14ac:dyDescent="0.3">
      <c r="A53" s="7"/>
    </row>
    <row r="54" spans="1:11" x14ac:dyDescent="0.3">
      <c r="A54" s="7"/>
    </row>
    <row r="55" spans="1:11" x14ac:dyDescent="0.3">
      <c r="A55" s="1" t="s">
        <v>30</v>
      </c>
    </row>
    <row r="56" spans="1:11" s="6" customFormat="1" x14ac:dyDescent="0.3">
      <c r="A56" s="4" t="s">
        <v>11</v>
      </c>
      <c r="B56" s="5">
        <v>42460</v>
      </c>
      <c r="C56" s="5">
        <v>42825</v>
      </c>
      <c r="D56" s="5">
        <v>43190</v>
      </c>
      <c r="E56" s="5">
        <v>43555</v>
      </c>
      <c r="F56" s="5">
        <v>43921</v>
      </c>
      <c r="G56" s="5">
        <v>44286</v>
      </c>
      <c r="H56" s="5">
        <v>44651</v>
      </c>
      <c r="I56" s="5">
        <v>45016</v>
      </c>
      <c r="J56" s="5">
        <v>45382</v>
      </c>
      <c r="K56" s="5">
        <v>45747</v>
      </c>
    </row>
    <row r="57" spans="1:11" x14ac:dyDescent="0.3">
      <c r="A57" s="7" t="s">
        <v>31</v>
      </c>
      <c r="B57" s="3">
        <v>95.92</v>
      </c>
      <c r="C57" s="3">
        <v>95.92</v>
      </c>
      <c r="D57" s="3">
        <v>95.92</v>
      </c>
      <c r="E57" s="3">
        <v>95.92</v>
      </c>
      <c r="F57" s="3">
        <v>95.92</v>
      </c>
      <c r="G57" s="3">
        <v>95.92</v>
      </c>
      <c r="H57" s="3">
        <v>95.92</v>
      </c>
      <c r="I57" s="3">
        <v>95.92</v>
      </c>
      <c r="J57" s="3">
        <v>95.92</v>
      </c>
      <c r="K57" s="3">
        <v>95.92</v>
      </c>
    </row>
    <row r="58" spans="1:11" x14ac:dyDescent="0.3">
      <c r="A58" s="7" t="s">
        <v>32</v>
      </c>
      <c r="B58" s="3">
        <v>6428.9</v>
      </c>
      <c r="C58" s="3">
        <v>7507.97</v>
      </c>
      <c r="D58" s="3">
        <v>8314.31</v>
      </c>
      <c r="E58" s="3">
        <v>9374.6299999999992</v>
      </c>
      <c r="F58" s="3">
        <v>10034.24</v>
      </c>
      <c r="G58" s="3">
        <v>12710.37</v>
      </c>
      <c r="H58" s="3">
        <v>13715.64</v>
      </c>
      <c r="I58" s="3">
        <v>15896.31</v>
      </c>
      <c r="J58" s="3">
        <v>18632.38</v>
      </c>
      <c r="K58" s="3">
        <v>19303.89</v>
      </c>
    </row>
    <row r="59" spans="1:11" x14ac:dyDescent="0.3">
      <c r="A59" s="7" t="s">
        <v>33</v>
      </c>
      <c r="B59" s="3">
        <v>323.29000000000002</v>
      </c>
      <c r="C59" s="3">
        <v>560.34</v>
      </c>
      <c r="D59" s="3">
        <v>533.42999999999995</v>
      </c>
      <c r="E59" s="3">
        <v>1319.6</v>
      </c>
      <c r="F59" s="3">
        <v>1118.5</v>
      </c>
      <c r="G59" s="3">
        <v>1093.1199999999999</v>
      </c>
      <c r="H59" s="3">
        <v>1586.88</v>
      </c>
      <c r="I59" s="3">
        <v>1932.62</v>
      </c>
      <c r="J59" s="3">
        <v>2474.38</v>
      </c>
      <c r="K59" s="3">
        <v>2290.29</v>
      </c>
    </row>
    <row r="60" spans="1:11" x14ac:dyDescent="0.3">
      <c r="A60" s="7" t="s">
        <v>34</v>
      </c>
      <c r="B60" s="3">
        <v>3710.92</v>
      </c>
      <c r="C60" s="3">
        <v>4240.96</v>
      </c>
      <c r="D60" s="3">
        <v>4819.82</v>
      </c>
      <c r="E60" s="3">
        <v>5458.69</v>
      </c>
      <c r="F60" s="3">
        <v>4889.3100000000004</v>
      </c>
      <c r="G60" s="3">
        <v>6455.93</v>
      </c>
      <c r="H60" s="3">
        <v>7559.99</v>
      </c>
      <c r="I60" s="3">
        <v>7854.48</v>
      </c>
      <c r="J60" s="3">
        <v>8698.09</v>
      </c>
      <c r="K60" s="3">
        <v>8665.15</v>
      </c>
    </row>
    <row r="61" spans="1:11" s="1" customFormat="1" x14ac:dyDescent="0.3">
      <c r="A61" s="1" t="s">
        <v>35</v>
      </c>
      <c r="B61" s="3">
        <v>10559.03</v>
      </c>
      <c r="C61" s="3">
        <v>12405.19</v>
      </c>
      <c r="D61" s="3">
        <v>13763.48</v>
      </c>
      <c r="E61" s="3">
        <v>16248.84</v>
      </c>
      <c r="F61" s="3">
        <v>16137.97</v>
      </c>
      <c r="G61" s="3">
        <v>20355.34</v>
      </c>
      <c r="H61" s="3">
        <v>22958.43</v>
      </c>
      <c r="I61" s="3">
        <v>25779.33</v>
      </c>
      <c r="J61" s="3">
        <v>29900.77</v>
      </c>
      <c r="K61" s="3">
        <v>30355.25</v>
      </c>
    </row>
    <row r="62" spans="1:11" x14ac:dyDescent="0.3">
      <c r="A62" s="7" t="s">
        <v>36</v>
      </c>
      <c r="B62" s="3">
        <v>3416.35</v>
      </c>
      <c r="C62" s="3">
        <v>3303.74</v>
      </c>
      <c r="D62" s="3">
        <v>3732.24</v>
      </c>
      <c r="E62" s="3">
        <v>6496.56</v>
      </c>
      <c r="F62" s="3">
        <v>6272.31</v>
      </c>
      <c r="G62" s="3">
        <v>5858.52</v>
      </c>
      <c r="H62" s="3">
        <v>5519.06</v>
      </c>
      <c r="I62" s="3">
        <v>5770.46</v>
      </c>
      <c r="J62" s="3">
        <v>7146.62</v>
      </c>
      <c r="K62" s="3">
        <v>9220.1</v>
      </c>
    </row>
    <row r="63" spans="1:11" x14ac:dyDescent="0.3">
      <c r="A63" s="7" t="s">
        <v>37</v>
      </c>
      <c r="B63" s="3">
        <v>106.59</v>
      </c>
      <c r="C63" s="3">
        <v>257.54000000000002</v>
      </c>
      <c r="D63" s="3">
        <v>1405.11</v>
      </c>
      <c r="E63" s="3">
        <v>209.67</v>
      </c>
      <c r="F63" s="3">
        <v>140.24</v>
      </c>
      <c r="G63" s="3">
        <v>182.98</v>
      </c>
      <c r="H63" s="3">
        <v>426.43</v>
      </c>
      <c r="I63" s="3">
        <v>1019.59</v>
      </c>
      <c r="J63" s="3">
        <v>2698.37</v>
      </c>
      <c r="K63" s="3">
        <v>1254.49</v>
      </c>
    </row>
    <row r="64" spans="1:11" x14ac:dyDescent="0.3">
      <c r="A64" s="7" t="s">
        <v>38</v>
      </c>
      <c r="B64" s="3">
        <v>2712.13</v>
      </c>
      <c r="C64" s="3">
        <v>2651.99</v>
      </c>
      <c r="D64" s="3">
        <v>2140.6999999999998</v>
      </c>
      <c r="E64" s="3">
        <v>2568.58</v>
      </c>
      <c r="F64" s="3">
        <v>2018.85</v>
      </c>
      <c r="G64" s="3">
        <v>4736.8</v>
      </c>
      <c r="H64" s="3">
        <v>3247.53</v>
      </c>
      <c r="I64" s="3">
        <v>4261.71</v>
      </c>
      <c r="J64" s="3">
        <v>4587.92</v>
      </c>
      <c r="K64" s="3">
        <v>4724.75</v>
      </c>
    </row>
    <row r="65" spans="1:11" x14ac:dyDescent="0.3">
      <c r="A65" s="7" t="s">
        <v>39</v>
      </c>
      <c r="B65" s="3">
        <v>4323.96</v>
      </c>
      <c r="C65" s="3">
        <v>6191.92</v>
      </c>
      <c r="D65" s="3">
        <v>6485.43</v>
      </c>
      <c r="E65" s="3">
        <v>6974.03</v>
      </c>
      <c r="F65" s="3">
        <v>7706.57</v>
      </c>
      <c r="G65" s="3">
        <v>9577.0400000000009</v>
      </c>
      <c r="H65" s="3">
        <v>13765.41</v>
      </c>
      <c r="I65" s="3">
        <v>14727.57</v>
      </c>
      <c r="J65" s="3">
        <v>15467.86</v>
      </c>
      <c r="K65" s="3">
        <v>15155.91</v>
      </c>
    </row>
    <row r="66" spans="1:11" s="1" customFormat="1" x14ac:dyDescent="0.3">
      <c r="A66" s="1" t="s">
        <v>35</v>
      </c>
      <c r="B66" s="3">
        <v>10559.03</v>
      </c>
      <c r="C66" s="3">
        <v>12405.19</v>
      </c>
      <c r="D66" s="3">
        <v>13763.48</v>
      </c>
      <c r="E66" s="3">
        <v>16248.84</v>
      </c>
      <c r="F66" s="3">
        <v>16137.97</v>
      </c>
      <c r="G66" s="3">
        <v>20355.34</v>
      </c>
      <c r="H66" s="3">
        <v>22958.43</v>
      </c>
      <c r="I66" s="3">
        <v>25779.33</v>
      </c>
      <c r="J66" s="3">
        <v>29900.77</v>
      </c>
      <c r="K66" s="3">
        <v>30355.25</v>
      </c>
    </row>
    <row r="67" spans="1:11" s="7" customFormat="1" x14ac:dyDescent="0.3">
      <c r="A67" s="7" t="s">
        <v>40</v>
      </c>
      <c r="B67" s="3">
        <v>1186.8399999999999</v>
      </c>
      <c r="C67" s="3">
        <v>1446.6</v>
      </c>
      <c r="D67" s="3">
        <v>1730.63</v>
      </c>
      <c r="E67" s="3">
        <v>1907.33</v>
      </c>
      <c r="F67" s="3">
        <v>1795.22</v>
      </c>
      <c r="G67" s="3">
        <v>2602.17</v>
      </c>
      <c r="H67" s="3">
        <v>3871.44</v>
      </c>
      <c r="I67" s="3">
        <v>4636.9399999999996</v>
      </c>
      <c r="J67" s="3">
        <v>4889.05</v>
      </c>
      <c r="K67" s="3">
        <v>4313.6499999999996</v>
      </c>
    </row>
    <row r="68" spans="1:11" x14ac:dyDescent="0.3">
      <c r="A68" s="7" t="s">
        <v>41</v>
      </c>
      <c r="B68" s="3">
        <v>1998.24</v>
      </c>
      <c r="C68" s="3">
        <v>2626.94</v>
      </c>
      <c r="D68" s="3">
        <v>2658.31</v>
      </c>
      <c r="E68" s="3">
        <v>3149.86</v>
      </c>
      <c r="F68" s="3">
        <v>3389.81</v>
      </c>
      <c r="G68" s="3">
        <v>3798.6</v>
      </c>
      <c r="H68" s="3">
        <v>6152.98</v>
      </c>
      <c r="I68" s="3">
        <v>6210.64</v>
      </c>
      <c r="J68" s="3">
        <v>5923.41</v>
      </c>
      <c r="K68" s="3">
        <v>6719.27</v>
      </c>
    </row>
    <row r="69" spans="1:11" x14ac:dyDescent="0.3">
      <c r="A69" s="2" t="s">
        <v>42</v>
      </c>
      <c r="B69" s="3">
        <v>424.2</v>
      </c>
      <c r="C69" s="3">
        <v>801.21</v>
      </c>
      <c r="D69" s="3">
        <v>404.65</v>
      </c>
      <c r="E69" s="3">
        <v>444.88</v>
      </c>
      <c r="F69" s="3">
        <v>782.83</v>
      </c>
      <c r="G69" s="3">
        <v>610.75</v>
      </c>
      <c r="H69" s="3">
        <v>864.33</v>
      </c>
      <c r="I69" s="3">
        <v>843.82</v>
      </c>
      <c r="J69" s="3">
        <v>1084.01</v>
      </c>
      <c r="K69" s="3">
        <v>781.98</v>
      </c>
    </row>
    <row r="70" spans="1:11" x14ac:dyDescent="0.3">
      <c r="A70" s="2" t="s">
        <v>43</v>
      </c>
      <c r="B70" s="3">
        <v>959197790</v>
      </c>
      <c r="C70" s="3">
        <v>959197790</v>
      </c>
      <c r="D70" s="3">
        <v>959197790</v>
      </c>
      <c r="E70" s="3">
        <v>959197790</v>
      </c>
      <c r="F70" s="3">
        <v>959197790</v>
      </c>
      <c r="G70" s="3">
        <v>959197790</v>
      </c>
      <c r="H70" s="3">
        <v>959197790</v>
      </c>
      <c r="I70" s="3">
        <v>959197790</v>
      </c>
      <c r="J70" s="3">
        <v>959197790</v>
      </c>
      <c r="K70" s="3">
        <v>959197790</v>
      </c>
    </row>
    <row r="71" spans="1:11" x14ac:dyDescent="0.3">
      <c r="A71" s="2" t="s">
        <v>44</v>
      </c>
    </row>
    <row r="72" spans="1:11" x14ac:dyDescent="0.3">
      <c r="A72" s="2" t="s">
        <v>45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</row>
    <row r="74" spans="1:11" x14ac:dyDescent="0.3">
      <c r="A74" s="7"/>
    </row>
    <row r="75" spans="1:11" x14ac:dyDescent="0.3">
      <c r="A75" s="7"/>
    </row>
    <row r="76" spans="1:11" x14ac:dyDescent="0.3">
      <c r="A76" s="7"/>
    </row>
    <row r="77" spans="1:11" x14ac:dyDescent="0.3">
      <c r="A77" s="7"/>
    </row>
    <row r="78" spans="1:11" x14ac:dyDescent="0.3">
      <c r="A78" s="7"/>
    </row>
    <row r="79" spans="1:11" x14ac:dyDescent="0.3">
      <c r="A79" s="7"/>
    </row>
    <row r="80" spans="1:11" x14ac:dyDescent="0.3">
      <c r="A80" s="1" t="s">
        <v>46</v>
      </c>
    </row>
    <row r="81" spans="1:11" s="6" customFormat="1" x14ac:dyDescent="0.3">
      <c r="A81" s="4" t="s">
        <v>11</v>
      </c>
      <c r="B81" s="5">
        <v>42460</v>
      </c>
      <c r="C81" s="5">
        <v>42825</v>
      </c>
      <c r="D81" s="5">
        <v>43190</v>
      </c>
      <c r="E81" s="5">
        <v>43555</v>
      </c>
      <c r="F81" s="5">
        <v>43921</v>
      </c>
      <c r="G81" s="5">
        <v>44286</v>
      </c>
      <c r="H81" s="5">
        <v>44651</v>
      </c>
      <c r="I81" s="5">
        <v>45016</v>
      </c>
      <c r="J81" s="5">
        <v>45382</v>
      </c>
      <c r="K81" s="5">
        <v>45747</v>
      </c>
    </row>
    <row r="82" spans="1:11" s="1" customFormat="1" x14ac:dyDescent="0.3">
      <c r="A82" s="7" t="s">
        <v>47</v>
      </c>
      <c r="B82" s="3">
        <v>2242.9499999999998</v>
      </c>
      <c r="C82" s="3">
        <v>1527.33</v>
      </c>
      <c r="D82" s="3">
        <v>2113.44</v>
      </c>
      <c r="E82" s="3">
        <v>2469.54</v>
      </c>
      <c r="F82" s="3">
        <v>3038.15</v>
      </c>
      <c r="G82" s="3">
        <v>3683.35</v>
      </c>
      <c r="H82" s="3">
        <v>986.49</v>
      </c>
      <c r="I82" s="3">
        <v>4193.43</v>
      </c>
      <c r="J82" s="3">
        <v>6103.6</v>
      </c>
      <c r="K82" s="3">
        <v>4423.96</v>
      </c>
    </row>
    <row r="83" spans="1:11" s="7" customFormat="1" x14ac:dyDescent="0.3">
      <c r="A83" s="7" t="s">
        <v>48</v>
      </c>
      <c r="B83" s="3">
        <v>-866.21</v>
      </c>
      <c r="C83" s="3">
        <v>-681.11</v>
      </c>
      <c r="D83" s="3">
        <v>-1556.14</v>
      </c>
      <c r="E83" s="3">
        <v>-917.79</v>
      </c>
      <c r="F83" s="3">
        <v>-517.91</v>
      </c>
      <c r="G83" s="3">
        <v>-540.54</v>
      </c>
      <c r="H83" s="3">
        <v>-316.75</v>
      </c>
      <c r="I83" s="3">
        <v>-1282.3399999999999</v>
      </c>
      <c r="J83" s="3">
        <v>-2548.48</v>
      </c>
      <c r="K83" s="3">
        <v>-940.91</v>
      </c>
    </row>
    <row r="84" spans="1:11" s="7" customFormat="1" x14ac:dyDescent="0.3">
      <c r="A84" s="7" t="s">
        <v>49</v>
      </c>
      <c r="B84" s="3">
        <v>-848.98</v>
      </c>
      <c r="C84" s="3">
        <v>-756.43</v>
      </c>
      <c r="D84" s="3">
        <v>-1379.14</v>
      </c>
      <c r="E84" s="3">
        <v>-1117.46</v>
      </c>
      <c r="F84" s="3">
        <v>-2871.46</v>
      </c>
      <c r="G84" s="3">
        <v>-650.4</v>
      </c>
      <c r="H84" s="3">
        <v>-1807.61</v>
      </c>
      <c r="I84" s="3">
        <v>-2140.0500000000002</v>
      </c>
      <c r="J84" s="3">
        <v>-2982.5</v>
      </c>
      <c r="K84" s="3">
        <v>-3752.58</v>
      </c>
    </row>
    <row r="85" spans="1:11" s="1" customFormat="1" x14ac:dyDescent="0.3">
      <c r="A85" s="7" t="s">
        <v>50</v>
      </c>
      <c r="B85" s="3">
        <v>527.76</v>
      </c>
      <c r="C85" s="3">
        <v>89.79</v>
      </c>
      <c r="D85" s="3">
        <v>-821.84</v>
      </c>
      <c r="E85" s="3">
        <v>434.29</v>
      </c>
      <c r="F85" s="3">
        <v>-351.22</v>
      </c>
      <c r="G85" s="3">
        <v>2492.41</v>
      </c>
      <c r="H85" s="3">
        <v>-1137.8699999999999</v>
      </c>
      <c r="I85" s="3">
        <v>771.04</v>
      </c>
      <c r="J85" s="3">
        <v>572.62</v>
      </c>
      <c r="K85" s="3">
        <v>-269.52999999999997</v>
      </c>
    </row>
    <row r="86" spans="1:11" x14ac:dyDescent="0.3">
      <c r="A86" s="7"/>
    </row>
    <row r="87" spans="1:11" x14ac:dyDescent="0.3">
      <c r="A87" s="7"/>
    </row>
    <row r="88" spans="1:11" x14ac:dyDescent="0.3">
      <c r="A88" s="7"/>
    </row>
    <row r="89" spans="1:11" x14ac:dyDescent="0.3">
      <c r="A89" s="7"/>
    </row>
    <row r="90" spans="1:11" s="1" customFormat="1" x14ac:dyDescent="0.3">
      <c r="A90" s="1" t="s">
        <v>51</v>
      </c>
      <c r="B90" s="3">
        <v>868.4</v>
      </c>
      <c r="C90" s="3">
        <v>1073.5</v>
      </c>
      <c r="D90" s="3">
        <v>1120.4000000000001</v>
      </c>
      <c r="E90" s="3">
        <v>1492.7</v>
      </c>
      <c r="F90" s="3">
        <v>1666.5</v>
      </c>
      <c r="G90" s="3">
        <v>2537.4</v>
      </c>
      <c r="H90" s="3">
        <v>3079.95</v>
      </c>
      <c r="I90" s="3">
        <v>2761.65</v>
      </c>
      <c r="J90" s="3">
        <v>2846.75</v>
      </c>
      <c r="K90" s="3">
        <v>2340.65</v>
      </c>
    </row>
    <row r="92" spans="1:11" s="1" customFormat="1" x14ac:dyDescent="0.3">
      <c r="A92" s="1" t="s">
        <v>52</v>
      </c>
    </row>
    <row r="93" spans="1:11" x14ac:dyDescent="0.3">
      <c r="A93" s="2" t="s">
        <v>53</v>
      </c>
      <c r="B93" s="8">
        <v>95.92</v>
      </c>
      <c r="C93" s="8">
        <v>95.92</v>
      </c>
      <c r="D93" s="8">
        <v>95.92</v>
      </c>
      <c r="E93" s="8">
        <v>95.92</v>
      </c>
      <c r="F93" s="8">
        <v>95.92</v>
      </c>
      <c r="G93" s="8">
        <v>95.92</v>
      </c>
      <c r="H93" s="8">
        <v>95.92</v>
      </c>
      <c r="I93" s="8">
        <v>95.92</v>
      </c>
      <c r="J93" s="8">
        <v>95.92</v>
      </c>
      <c r="K93" s="8">
        <v>95.92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88AF874C-DF68-455E-BCD0-6F97F66644C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DCF&gt;</vt:lpstr>
      <vt:lpstr>WACC</vt:lpstr>
      <vt:lpstr>Data&gt;</vt:lpstr>
      <vt:lpstr>Beta-Regression</vt:lpstr>
      <vt:lpstr>Beta Comps</vt:lpstr>
      <vt:lpstr>RM</vt:lpstr>
      <vt:lpstr>Intrinsic Growth</vt:lpstr>
      <vt:lpstr>RawFS</vt:lpstr>
      <vt:lpstr>Financials&gt;</vt:lpstr>
      <vt:lpstr>Ratio Analysis</vt:lpstr>
      <vt:lpstr>Forecasting</vt:lpstr>
      <vt:lpstr>Cash Flow Data</vt:lpstr>
      <vt:lpstr>HistoricalFS</vt:lpstr>
      <vt:lpstr>Data Room&gt;</vt:lpstr>
      <vt:lpstr>Data Sheet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Baharul Islam Shuvo</dc:creator>
  <cp:keywords>financial-modeling</cp:keywords>
  <cp:lastModifiedBy>Baharul Islam Shuvo</cp:lastModifiedBy>
  <dcterms:created xsi:type="dcterms:W3CDTF">2025-06-05T08:43:05Z</dcterms:created>
  <dcterms:modified xsi:type="dcterms:W3CDTF">2025-07-09T13:15:07Z</dcterms:modified>
</cp:coreProperties>
</file>