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aha Tegar\Desktop\Preparation\Dashboarding-Excel\"/>
    </mc:Choice>
  </mc:AlternateContent>
  <xr:revisionPtr revIDLastSave="0" documentId="13_ncr:1_{2A6E5FBB-74D5-4C7A-B7DD-49BB85962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shboard" sheetId="3" r:id="rId1"/>
    <sheet name="calculation" sheetId="5" r:id="rId2"/>
    <sheet name="wireframe" sheetId="1" r:id="rId3"/>
    <sheet name="datasets" sheetId="4" r:id="rId4"/>
  </sheets>
  <externalReferences>
    <externalReference r:id="rId5"/>
  </externalReferences>
  <definedNames>
    <definedName name="CM">Dashboard!$F$6</definedName>
    <definedName name="cur_month">[1]Dashboard!$F$6</definedName>
    <definedName name="cur_year">[1]Dashboard!$F$5</definedName>
    <definedName name="CY">Dashboard!$F$5</definedName>
    <definedName name="h">Dashboard!$F$5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5" i="3" l="1"/>
  <c r="AS12" i="5"/>
  <c r="D25" i="3"/>
  <c r="AY14" i="5"/>
  <c r="AX14" i="5"/>
  <c r="AZ17" i="5"/>
  <c r="AZ18" i="5"/>
  <c r="AZ19" i="5"/>
  <c r="AZ20" i="5"/>
  <c r="AZ22" i="5"/>
  <c r="AZ23" i="5"/>
  <c r="AZ24" i="5"/>
  <c r="AZ25" i="5"/>
  <c r="AZ26" i="5"/>
  <c r="AZ27" i="5"/>
  <c r="AZ16" i="5"/>
  <c r="AV14" i="5" l="1"/>
  <c r="AU14" i="5"/>
  <c r="AT14" i="5"/>
  <c r="AK12" i="5"/>
  <c r="AK13" i="5"/>
  <c r="E36" i="3"/>
  <c r="AG14" i="5"/>
  <c r="N16" i="5"/>
  <c r="M16" i="5" s="1"/>
  <c r="N17" i="5"/>
  <c r="M17" i="5" s="1"/>
  <c r="N18" i="5"/>
  <c r="M18" i="5" s="1"/>
  <c r="N19" i="5"/>
  <c r="M19" i="5" s="1"/>
  <c r="N20" i="5"/>
  <c r="E18" i="3" s="1"/>
  <c r="N21" i="5"/>
  <c r="M21" i="5" s="1"/>
  <c r="D19" i="3" s="1"/>
  <c r="N22" i="5"/>
  <c r="E20" i="3" s="1"/>
  <c r="N23" i="5"/>
  <c r="E21" i="3" s="1"/>
  <c r="N24" i="5"/>
  <c r="AF24" i="5" s="1"/>
  <c r="N25" i="5"/>
  <c r="AF25" i="5" s="1"/>
  <c r="N26" i="5"/>
  <c r="AF26" i="5" s="1"/>
  <c r="N27" i="5"/>
  <c r="AF27" i="5" s="1"/>
  <c r="N28" i="5"/>
  <c r="M28" i="5" s="1"/>
  <c r="N29" i="5"/>
  <c r="AF29" i="5" s="1"/>
  <c r="N30" i="5"/>
  <c r="AC30" i="5" s="1"/>
  <c r="N31" i="5"/>
  <c r="AB31" i="5" s="1"/>
  <c r="N32" i="5"/>
  <c r="AB32" i="5" s="1"/>
  <c r="N33" i="5"/>
  <c r="Z33" i="5" s="1"/>
  <c r="N34" i="5"/>
  <c r="O34" i="5" s="1"/>
  <c r="N15" i="5"/>
  <c r="E13" i="3" s="1"/>
  <c r="T9" i="5"/>
  <c r="S9" i="5"/>
  <c r="R9" i="5"/>
  <c r="W10" i="5"/>
  <c r="V10" i="5"/>
  <c r="U10" i="5"/>
  <c r="W9" i="5"/>
  <c r="V9" i="5"/>
  <c r="U9" i="5"/>
  <c r="T10" i="5"/>
  <c r="S10" i="5"/>
  <c r="R10" i="5"/>
  <c r="P9" i="5"/>
  <c r="Q9" i="5"/>
  <c r="O9" i="5"/>
  <c r="Q10" i="5"/>
  <c r="P10" i="5"/>
  <c r="O10" i="5"/>
  <c r="B6" i="4"/>
  <c r="N36" i="5"/>
  <c r="G14" i="5" a="1"/>
  <c r="H14" i="5" s="1"/>
  <c r="A2" i="4"/>
  <c r="AQ5" i="4" s="1"/>
  <c r="AQ4" i="4" s="1"/>
  <c r="J6" i="4"/>
  <c r="I6" i="4"/>
  <c r="H6" i="4"/>
  <c r="G6" i="4"/>
  <c r="F6" i="4"/>
  <c r="E6" i="4"/>
  <c r="D6" i="4"/>
  <c r="C6" i="4"/>
  <c r="AV17" i="5" l="1"/>
  <c r="AY17" i="5" s="1"/>
  <c r="AT23" i="5"/>
  <c r="AW23" i="5" s="1"/>
  <c r="AT22" i="5"/>
  <c r="AW22" i="5" s="1"/>
  <c r="AT20" i="5"/>
  <c r="AW20" i="5" s="1"/>
  <c r="AU19" i="5"/>
  <c r="AX19" i="5" s="1"/>
  <c r="AT19" i="5"/>
  <c r="AW19" i="5" s="1"/>
  <c r="AV16" i="5"/>
  <c r="AY16" i="5" s="1"/>
  <c r="AV27" i="5"/>
  <c r="AY27" i="5" s="1"/>
  <c r="AU27" i="5"/>
  <c r="AX27" i="5" s="1"/>
  <c r="AU26" i="5"/>
  <c r="AX26" i="5" s="1"/>
  <c r="AV24" i="5"/>
  <c r="AY24" i="5" s="1"/>
  <c r="AT26" i="5"/>
  <c r="AW26" i="5" s="1"/>
  <c r="AU23" i="5"/>
  <c r="AX23" i="5" s="1"/>
  <c r="AV22" i="5"/>
  <c r="AY22" i="5" s="1"/>
  <c r="AT21" i="5"/>
  <c r="AU17" i="5"/>
  <c r="AX17" i="5" s="1"/>
  <c r="AT17" i="5"/>
  <c r="AW17" i="5" s="1"/>
  <c r="AU16" i="5"/>
  <c r="AX16" i="5" s="1"/>
  <c r="AU25" i="5"/>
  <c r="AX25" i="5" s="1"/>
  <c r="AV23" i="5"/>
  <c r="AY23" i="5" s="1"/>
  <c r="AT25" i="5"/>
  <c r="AW25" i="5" s="1"/>
  <c r="AU22" i="5"/>
  <c r="AX22" i="5" s="1"/>
  <c r="AV21" i="5"/>
  <c r="AY21" i="5" s="1"/>
  <c r="AU20" i="5"/>
  <c r="AX20" i="5" s="1"/>
  <c r="AV26" i="5"/>
  <c r="AY26" i="5" s="1"/>
  <c r="AV25" i="5"/>
  <c r="AY25" i="5" s="1"/>
  <c r="AT16" i="5"/>
  <c r="AW16" i="5" s="1"/>
  <c r="AT27" i="5"/>
  <c r="AW27" i="5" s="1"/>
  <c r="AU24" i="5"/>
  <c r="AX24" i="5" s="1"/>
  <c r="AT24" i="5"/>
  <c r="AW24" i="5" s="1"/>
  <c r="AU21" i="5"/>
  <c r="AX21" i="5" s="1"/>
  <c r="AV20" i="5"/>
  <c r="AY20" i="5" s="1"/>
  <c r="AV19" i="5"/>
  <c r="AY19" i="5" s="1"/>
  <c r="AT18" i="5"/>
  <c r="AW18" i="5" s="1"/>
  <c r="AU18" i="5"/>
  <c r="AX18" i="5" s="1"/>
  <c r="AV18" i="5"/>
  <c r="AY18" i="5" s="1"/>
  <c r="V8" i="5"/>
  <c r="D16" i="3"/>
  <c r="AF33" i="5"/>
  <c r="AF32" i="5"/>
  <c r="AF31" i="5"/>
  <c r="AF30" i="5"/>
  <c r="AF28" i="5"/>
  <c r="AF21" i="5"/>
  <c r="AF20" i="5"/>
  <c r="AF19" i="5"/>
  <c r="AF18" i="5"/>
  <c r="AF17" i="5"/>
  <c r="AF16" i="5"/>
  <c r="AF15" i="5"/>
  <c r="AF23" i="5"/>
  <c r="AF34" i="5"/>
  <c r="AF22" i="5"/>
  <c r="M30" i="5"/>
  <c r="E16" i="3"/>
  <c r="U30" i="5"/>
  <c r="V30" i="5"/>
  <c r="AA31" i="5"/>
  <c r="AB30" i="5"/>
  <c r="W8" i="5"/>
  <c r="S8" i="5"/>
  <c r="P30" i="5"/>
  <c r="S30" i="5"/>
  <c r="T8" i="5"/>
  <c r="Q8" i="5"/>
  <c r="U8" i="5"/>
  <c r="O8" i="5"/>
  <c r="P8" i="5"/>
  <c r="AA34" i="5"/>
  <c r="AA33" i="5"/>
  <c r="X34" i="5"/>
  <c r="AA32" i="5"/>
  <c r="M33" i="5"/>
  <c r="M32" i="5"/>
  <c r="R34" i="5"/>
  <c r="U33" i="5"/>
  <c r="X32" i="5"/>
  <c r="AA30" i="5"/>
  <c r="AG30" i="5" s="1"/>
  <c r="U34" i="5"/>
  <c r="R33" i="5"/>
  <c r="U32" i="5"/>
  <c r="X31" i="5"/>
  <c r="O33" i="5"/>
  <c r="R32" i="5"/>
  <c r="U31" i="5"/>
  <c r="X30" i="5"/>
  <c r="X33" i="5"/>
  <c r="O32" i="5"/>
  <c r="R31" i="5"/>
  <c r="M29" i="5"/>
  <c r="O31" i="5"/>
  <c r="R30" i="5"/>
  <c r="E19" i="3"/>
  <c r="O30" i="5"/>
  <c r="Y30" i="5"/>
  <c r="Q33" i="5"/>
  <c r="T32" i="5"/>
  <c r="W32" i="5"/>
  <c r="AC32" i="5"/>
  <c r="E22" i="3"/>
  <c r="AC34" i="5"/>
  <c r="W33" i="5"/>
  <c r="M34" i="5"/>
  <c r="M15" i="5"/>
  <c r="E17" i="3"/>
  <c r="Q31" i="5"/>
  <c r="T31" i="5"/>
  <c r="W31" i="5"/>
  <c r="Z31" i="5"/>
  <c r="AC31" i="5"/>
  <c r="Q34" i="5"/>
  <c r="T34" i="5"/>
  <c r="Z34" i="5"/>
  <c r="Q32" i="5"/>
  <c r="Z32" i="5"/>
  <c r="P34" i="5"/>
  <c r="Q30" i="5"/>
  <c r="S34" i="5"/>
  <c r="T30" i="5"/>
  <c r="V34" i="5"/>
  <c r="W30" i="5"/>
  <c r="Y34" i="5"/>
  <c r="Z30" i="5"/>
  <c r="AB34" i="5"/>
  <c r="T33" i="5"/>
  <c r="AC33" i="5"/>
  <c r="M20" i="5"/>
  <c r="D18" i="3" s="1"/>
  <c r="P33" i="5"/>
  <c r="S33" i="5"/>
  <c r="V33" i="5"/>
  <c r="Y33" i="5"/>
  <c r="AB33" i="5"/>
  <c r="W34" i="5"/>
  <c r="M31" i="5"/>
  <c r="P32" i="5"/>
  <c r="S32" i="5"/>
  <c r="V32" i="5"/>
  <c r="Y32" i="5"/>
  <c r="D17" i="3"/>
  <c r="P31" i="5"/>
  <c r="S31" i="5"/>
  <c r="V31" i="5"/>
  <c r="Y31" i="5"/>
  <c r="AL5" i="4"/>
  <c r="AL4" i="4" s="1"/>
  <c r="J5" i="4"/>
  <c r="J4" i="4" s="1"/>
  <c r="R8" i="5"/>
  <c r="AK5" i="4"/>
  <c r="AK4" i="4" s="1"/>
  <c r="D5" i="4"/>
  <c r="D4" i="4" s="1"/>
  <c r="I5" i="4"/>
  <c r="I4" i="4" s="1"/>
  <c r="K5" i="4"/>
  <c r="K4" i="4" s="1"/>
  <c r="P5" i="4"/>
  <c r="P4" i="4" s="1"/>
  <c r="U5" i="4"/>
  <c r="U4" i="4" s="1"/>
  <c r="AM5" i="4"/>
  <c r="AM4" i="4" s="1"/>
  <c r="AT5" i="4"/>
  <c r="AT4" i="4" s="1"/>
  <c r="T5" i="4"/>
  <c r="T4" i="4" s="1"/>
  <c r="V5" i="4"/>
  <c r="V4" i="4" s="1"/>
  <c r="H5" i="4"/>
  <c r="H4" i="4" s="1"/>
  <c r="AI5" i="4"/>
  <c r="AI4" i="4" s="1"/>
  <c r="AJ5" i="4"/>
  <c r="AJ4" i="4" s="1"/>
  <c r="B5" i="4"/>
  <c r="B4" i="4" s="1"/>
  <c r="M23" i="5"/>
  <c r="D21" i="3" s="1"/>
  <c r="M22" i="5"/>
  <c r="D20" i="3" s="1"/>
  <c r="M27" i="5"/>
  <c r="D15" i="3" s="1"/>
  <c r="E15" i="3"/>
  <c r="E14" i="3"/>
  <c r="M26" i="5"/>
  <c r="D14" i="3" s="1"/>
  <c r="M25" i="5"/>
  <c r="M24" i="5"/>
  <c r="G14" i="5"/>
  <c r="I14" i="5"/>
  <c r="AN5" i="4"/>
  <c r="AN4" i="4" s="1"/>
  <c r="AO5" i="4"/>
  <c r="AO4" i="4" s="1"/>
  <c r="L5" i="4"/>
  <c r="L4" i="4" s="1"/>
  <c r="M5" i="4"/>
  <c r="M4" i="4" s="1"/>
  <c r="N5" i="4"/>
  <c r="N4" i="4" s="1"/>
  <c r="AR5" i="4"/>
  <c r="AR4" i="4" s="1"/>
  <c r="C5" i="4"/>
  <c r="C4" i="4" s="1"/>
  <c r="O5" i="4"/>
  <c r="O4" i="4" s="1"/>
  <c r="AS5" i="4"/>
  <c r="AS4" i="4" s="1"/>
  <c r="B2" i="4"/>
  <c r="R5" i="4"/>
  <c r="R4" i="4" s="1"/>
  <c r="AP5" i="4"/>
  <c r="AP4" i="4" s="1"/>
  <c r="Q5" i="4"/>
  <c r="Q4" i="4" s="1"/>
  <c r="S5" i="4"/>
  <c r="S4" i="4" s="1"/>
  <c r="AZ21" i="5" l="1"/>
  <c r="AW21" i="5"/>
  <c r="AG32" i="5"/>
  <c r="AG33" i="5"/>
  <c r="AG31" i="5"/>
  <c r="AG34" i="5"/>
  <c r="V21" i="5"/>
  <c r="Q29" i="5"/>
  <c r="U27" i="5"/>
  <c r="V19" i="5"/>
  <c r="Q27" i="5"/>
  <c r="U16" i="5"/>
  <c r="W28" i="5"/>
  <c r="U29" i="5"/>
  <c r="U24" i="5"/>
  <c r="O27" i="5"/>
  <c r="U19" i="5"/>
  <c r="P28" i="5"/>
  <c r="V17" i="5"/>
  <c r="W27" i="5"/>
  <c r="U23" i="5"/>
  <c r="V36" i="5"/>
  <c r="P27" i="5"/>
  <c r="U18" i="5"/>
  <c r="O29" i="5"/>
  <c r="O28" i="5"/>
  <c r="U26" i="5"/>
  <c r="V22" i="5"/>
  <c r="U21" i="5"/>
  <c r="U28" i="5"/>
  <c r="U25" i="5"/>
  <c r="P29" i="5"/>
  <c r="U20" i="5"/>
  <c r="Q28" i="5"/>
  <c r="V15" i="5"/>
  <c r="W20" i="5"/>
  <c r="V18" i="3" s="1"/>
  <c r="W29" i="5"/>
  <c r="V29" i="5"/>
  <c r="V27" i="5"/>
  <c r="U15" i="5"/>
  <c r="V24" i="5"/>
  <c r="W26" i="5"/>
  <c r="V28" i="5"/>
  <c r="D22" i="3"/>
  <c r="D13" i="3"/>
  <c r="Q18" i="5"/>
  <c r="Q19" i="5"/>
  <c r="Q36" i="5"/>
  <c r="P21" i="5"/>
  <c r="O36" i="5"/>
  <c r="P26" i="5"/>
  <c r="P24" i="5"/>
  <c r="P23" i="5"/>
  <c r="Q16" i="5"/>
  <c r="P22" i="5"/>
  <c r="O18" i="5"/>
  <c r="Q17" i="5"/>
  <c r="Q23" i="5"/>
  <c r="O21" i="5"/>
  <c r="O20" i="5"/>
  <c r="P15" i="5"/>
  <c r="P16" i="5"/>
  <c r="O19" i="5"/>
  <c r="Q21" i="5"/>
  <c r="P17" i="5"/>
  <c r="O16" i="5"/>
  <c r="Q26" i="5"/>
  <c r="O17" i="5"/>
  <c r="Q25" i="5"/>
  <c r="O22" i="5"/>
  <c r="Q20" i="5"/>
  <c r="P25" i="5"/>
  <c r="P36" i="5"/>
  <c r="Q24" i="5"/>
  <c r="O26" i="5"/>
  <c r="AA26" i="5" s="1"/>
  <c r="Q15" i="5"/>
  <c r="P20" i="5"/>
  <c r="O23" i="5"/>
  <c r="Q22" i="5"/>
  <c r="P18" i="5"/>
  <c r="O24" i="5"/>
  <c r="O25" i="5"/>
  <c r="P19" i="5"/>
  <c r="O15" i="5"/>
  <c r="W22" i="5"/>
  <c r="V20" i="3" s="1"/>
  <c r="W24" i="5"/>
  <c r="V22" i="3" s="1"/>
  <c r="W25" i="5"/>
  <c r="V18" i="5"/>
  <c r="W17" i="5"/>
  <c r="V15" i="3" s="1"/>
  <c r="V25" i="5"/>
  <c r="W16" i="5"/>
  <c r="V14" i="3" s="1"/>
  <c r="U36" i="5"/>
  <c r="W36" i="5"/>
  <c r="V23" i="5"/>
  <c r="W18" i="5"/>
  <c r="V16" i="3" s="1"/>
  <c r="W23" i="5"/>
  <c r="V21" i="3" s="1"/>
  <c r="U22" i="5"/>
  <c r="W15" i="5"/>
  <c r="V13" i="3" s="1"/>
  <c r="V26" i="5"/>
  <c r="V16" i="5"/>
  <c r="W19" i="5"/>
  <c r="V17" i="3" s="1"/>
  <c r="V20" i="5"/>
  <c r="U17" i="5"/>
  <c r="W21" i="5"/>
  <c r="V19" i="3" s="1"/>
  <c r="AD5" i="4"/>
  <c r="AD4" i="4" s="1"/>
  <c r="AE5" i="4"/>
  <c r="AE4" i="4" s="1"/>
  <c r="AC5" i="4"/>
  <c r="AC4" i="4" s="1"/>
  <c r="AB5" i="4"/>
  <c r="AB4" i="4" s="1"/>
  <c r="AA5" i="4"/>
  <c r="AA4" i="4" s="1"/>
  <c r="Z5" i="4"/>
  <c r="Z4" i="4" s="1"/>
  <c r="Y5" i="4"/>
  <c r="Y4" i="4" s="1"/>
  <c r="AH5" i="4"/>
  <c r="AH4" i="4" s="1"/>
  <c r="AG5" i="4"/>
  <c r="AG4" i="4" s="1"/>
  <c r="E5" i="4"/>
  <c r="E4" i="4" s="1"/>
  <c r="R19" i="5" s="1"/>
  <c r="X5" i="4"/>
  <c r="X4" i="4" s="1"/>
  <c r="W5" i="4"/>
  <c r="W4" i="4" s="1"/>
  <c r="G5" i="4"/>
  <c r="G4" i="4" s="1"/>
  <c r="F5" i="4"/>
  <c r="F4" i="4" s="1"/>
  <c r="AF5" i="4"/>
  <c r="AF4" i="4" s="1"/>
  <c r="AA16" i="5" l="1"/>
  <c r="AA27" i="5"/>
  <c r="AC22" i="5"/>
  <c r="AC26" i="5"/>
  <c r="AG26" i="5" s="1"/>
  <c r="O40" i="5"/>
  <c r="P40" i="5" s="1"/>
  <c r="AA20" i="5"/>
  <c r="AC20" i="5"/>
  <c r="AC27" i="5"/>
  <c r="AG27" i="5" s="1"/>
  <c r="AB27" i="5"/>
  <c r="AA24" i="5"/>
  <c r="AG24" i="5" s="1"/>
  <c r="N16" i="3"/>
  <c r="AB18" i="5"/>
  <c r="AA17" i="5"/>
  <c r="AA18" i="5"/>
  <c r="N22" i="3"/>
  <c r="AB24" i="5"/>
  <c r="AA19" i="5"/>
  <c r="AB26" i="5"/>
  <c r="N18" i="3"/>
  <c r="AB20" i="5"/>
  <c r="AC24" i="5"/>
  <c r="N14" i="3"/>
  <c r="AB16" i="5"/>
  <c r="N13" i="3"/>
  <c r="AB15" i="5"/>
  <c r="N19" i="3"/>
  <c r="AB21" i="5"/>
  <c r="N20" i="3"/>
  <c r="AB22" i="5"/>
  <c r="F21" i="3"/>
  <c r="AA23" i="5"/>
  <c r="N21" i="3"/>
  <c r="AB23" i="5"/>
  <c r="AC15" i="5"/>
  <c r="AA15" i="5"/>
  <c r="AB25" i="5"/>
  <c r="AC21" i="5"/>
  <c r="N17" i="3"/>
  <c r="AB19" i="5"/>
  <c r="AA21" i="5"/>
  <c r="AC19" i="5"/>
  <c r="N15" i="3"/>
  <c r="AB17" i="5"/>
  <c r="AA25" i="5"/>
  <c r="AA22" i="5"/>
  <c r="AG22" i="5" s="1"/>
  <c r="AC23" i="5"/>
  <c r="AC18" i="5"/>
  <c r="AC16" i="5"/>
  <c r="AG16" i="5" s="1"/>
  <c r="AC25" i="5"/>
  <c r="AC17" i="5"/>
  <c r="O41" i="5"/>
  <c r="P41" i="5" s="1"/>
  <c r="O39" i="5"/>
  <c r="P39" i="5" s="1"/>
  <c r="R28" i="5"/>
  <c r="X28" i="5" s="1"/>
  <c r="R18" i="5"/>
  <c r="X18" i="5" s="1"/>
  <c r="R22" i="5"/>
  <c r="X22" i="5" s="1"/>
  <c r="R16" i="5"/>
  <c r="R15" i="5"/>
  <c r="F19" i="3"/>
  <c r="R20" i="5"/>
  <c r="S29" i="5"/>
  <c r="AB29" i="5" s="1"/>
  <c r="T27" i="5"/>
  <c r="S27" i="5"/>
  <c r="T29" i="5"/>
  <c r="R29" i="5"/>
  <c r="AA29" i="5" s="1"/>
  <c r="R27" i="5"/>
  <c r="S28" i="5"/>
  <c r="AB28" i="5" s="1"/>
  <c r="T28" i="5"/>
  <c r="AC28" i="5" s="1"/>
  <c r="R36" i="5"/>
  <c r="AA36" i="5" s="1"/>
  <c r="F15" i="3"/>
  <c r="F20" i="3"/>
  <c r="F17" i="3"/>
  <c r="F22" i="3"/>
  <c r="F16" i="3"/>
  <c r="R17" i="5"/>
  <c r="X19" i="5"/>
  <c r="T18" i="5"/>
  <c r="S19" i="5"/>
  <c r="S22" i="5"/>
  <c r="S36" i="5"/>
  <c r="AB36" i="5" s="1"/>
  <c r="T20" i="5"/>
  <c r="S18" i="5"/>
  <c r="Y18" i="5" s="1"/>
  <c r="T21" i="5"/>
  <c r="T25" i="5"/>
  <c r="T24" i="5"/>
  <c r="T22" i="5"/>
  <c r="S15" i="5"/>
  <c r="T15" i="5"/>
  <c r="Z15" i="5" s="1"/>
  <c r="T17" i="5"/>
  <c r="Z17" i="5" s="1"/>
  <c r="S25" i="5"/>
  <c r="T23" i="5"/>
  <c r="S16" i="5"/>
  <c r="S21" i="5"/>
  <c r="R24" i="5"/>
  <c r="S26" i="5"/>
  <c r="S20" i="5"/>
  <c r="S23" i="5"/>
  <c r="S17" i="5"/>
  <c r="T19" i="5"/>
  <c r="T16" i="5"/>
  <c r="T36" i="5"/>
  <c r="AC36" i="5" s="1"/>
  <c r="T26" i="5"/>
  <c r="R25" i="5"/>
  <c r="S24" i="5"/>
  <c r="R26" i="5"/>
  <c r="R23" i="5"/>
  <c r="F13" i="3"/>
  <c r="F14" i="3"/>
  <c r="R21" i="5"/>
  <c r="F18" i="3"/>
  <c r="AG25" i="5" l="1"/>
  <c r="AG21" i="5"/>
  <c r="AG15" i="5"/>
  <c r="AG23" i="5"/>
  <c r="AG20" i="5"/>
  <c r="AG19" i="5"/>
  <c r="AG18" i="5"/>
  <c r="AG17" i="5"/>
  <c r="AA28" i="5"/>
  <c r="AG28" i="5" s="1"/>
  <c r="AA16" i="3"/>
  <c r="AB16" i="3" s="1"/>
  <c r="AA18" i="3"/>
  <c r="AB18" i="3" s="1"/>
  <c r="AA14" i="3"/>
  <c r="AB14" i="3" s="1"/>
  <c r="S19" i="3"/>
  <c r="T19" i="3" s="1"/>
  <c r="AA17" i="3"/>
  <c r="AB17" i="3" s="1"/>
  <c r="S13" i="3"/>
  <c r="T13" i="3" s="1"/>
  <c r="S22" i="3"/>
  <c r="T22" i="3" s="1"/>
  <c r="AA19" i="3"/>
  <c r="AB19" i="3" s="1"/>
  <c r="S14" i="3"/>
  <c r="T14" i="3" s="1"/>
  <c r="AA21" i="3"/>
  <c r="AB21" i="3" s="1"/>
  <c r="S17" i="3"/>
  <c r="T17" i="3" s="1"/>
  <c r="S15" i="3"/>
  <c r="T15" i="3" s="1"/>
  <c r="AA22" i="3"/>
  <c r="AB22" i="3" s="1"/>
  <c r="S18" i="3"/>
  <c r="T18" i="3" s="1"/>
  <c r="K21" i="3"/>
  <c r="L21" i="3" s="1"/>
  <c r="K16" i="3"/>
  <c r="L16" i="3" s="1"/>
  <c r="K15" i="3"/>
  <c r="L15" i="3" s="1"/>
  <c r="K18" i="3"/>
  <c r="L18" i="3" s="1"/>
  <c r="K14" i="3"/>
  <c r="L14" i="3" s="1"/>
  <c r="K17" i="3"/>
  <c r="L17" i="3" s="1"/>
  <c r="K13" i="3"/>
  <c r="L13" i="3" s="1"/>
  <c r="K19" i="3"/>
  <c r="L19" i="3" s="1"/>
  <c r="AA13" i="3"/>
  <c r="AB13" i="3" s="1"/>
  <c r="H17" i="3"/>
  <c r="I17" i="3"/>
  <c r="H20" i="3"/>
  <c r="I20" i="3"/>
  <c r="H16" i="3"/>
  <c r="I16" i="3"/>
  <c r="X15" i="3"/>
  <c r="Y15" i="3"/>
  <c r="P16" i="3"/>
  <c r="Q16" i="3"/>
  <c r="X36" i="5"/>
  <c r="X16" i="5"/>
  <c r="X15" i="5"/>
  <c r="Y27" i="5"/>
  <c r="Z27" i="5"/>
  <c r="X27" i="5"/>
  <c r="Z28" i="5"/>
  <c r="X20" i="5"/>
  <c r="X29" i="5"/>
  <c r="Y29" i="5"/>
  <c r="AC29" i="5"/>
  <c r="AG29" i="5" s="1"/>
  <c r="Z29" i="5"/>
  <c r="Y28" i="5"/>
  <c r="Y36" i="5"/>
  <c r="Y15" i="5"/>
  <c r="Z19" i="5"/>
  <c r="Y16" i="5"/>
  <c r="Z24" i="5"/>
  <c r="Z20" i="5"/>
  <c r="Z21" i="5"/>
  <c r="Z25" i="5"/>
  <c r="Z36" i="5"/>
  <c r="Y21" i="5"/>
  <c r="S16" i="3"/>
  <c r="T16" i="3" s="1"/>
  <c r="Z23" i="5"/>
  <c r="Y25" i="5"/>
  <c r="Y26" i="5"/>
  <c r="X23" i="5"/>
  <c r="Y23" i="5"/>
  <c r="S21" i="3"/>
  <c r="T21" i="3" s="1"/>
  <c r="Y24" i="5"/>
  <c r="AA15" i="3"/>
  <c r="AB15" i="3" s="1"/>
  <c r="Z22" i="5"/>
  <c r="AA20" i="3"/>
  <c r="AB20" i="3" s="1"/>
  <c r="X24" i="5"/>
  <c r="Z26" i="5"/>
  <c r="Z16" i="5"/>
  <c r="X17" i="5"/>
  <c r="X21" i="5"/>
  <c r="X26" i="5"/>
  <c r="Y17" i="5"/>
  <c r="Y22" i="5"/>
  <c r="S20" i="3"/>
  <c r="T20" i="3" s="1"/>
  <c r="X25" i="5"/>
  <c r="Y19" i="5"/>
  <c r="Z18" i="5"/>
  <c r="Y20" i="5"/>
  <c r="AI34" i="5" l="1"/>
  <c r="AI20" i="5"/>
  <c r="AJ20" i="5" s="1"/>
  <c r="AI18" i="5"/>
  <c r="AK18" i="5" s="1"/>
  <c r="AI32" i="5"/>
  <c r="AI33" i="5"/>
  <c r="AI19" i="5"/>
  <c r="AJ19" i="5" s="1"/>
  <c r="AI15" i="5"/>
  <c r="AK15" i="5" s="1"/>
  <c r="AI16" i="5"/>
  <c r="AK16" i="5" s="1"/>
  <c r="AI17" i="5"/>
  <c r="K22" i="3"/>
  <c r="L22" i="3" s="1"/>
  <c r="K20" i="3"/>
  <c r="L20" i="3" s="1"/>
  <c r="P22" i="3"/>
  <c r="Q22" i="3"/>
  <c r="P21" i="3"/>
  <c r="Q21" i="3"/>
  <c r="H15" i="3"/>
  <c r="I15" i="3"/>
  <c r="H21" i="3"/>
  <c r="I21" i="3"/>
  <c r="X17" i="3"/>
  <c r="Y17" i="3"/>
  <c r="H18" i="3"/>
  <c r="I18" i="3"/>
  <c r="X18" i="3"/>
  <c r="Y18" i="3"/>
  <c r="X22" i="3"/>
  <c r="Y22" i="3"/>
  <c r="H19" i="3"/>
  <c r="I19" i="3"/>
  <c r="P14" i="3"/>
  <c r="Q14" i="3"/>
  <c r="X14" i="3"/>
  <c r="Y14" i="3"/>
  <c r="P13" i="3"/>
  <c r="Y39" i="5"/>
  <c r="Y40" i="5"/>
  <c r="Q13" i="3"/>
  <c r="P15" i="3"/>
  <c r="Q15" i="3"/>
  <c r="H13" i="3"/>
  <c r="I13" i="3"/>
  <c r="X40" i="5"/>
  <c r="X39" i="5"/>
  <c r="P17" i="3"/>
  <c r="Q17" i="3"/>
  <c r="H22" i="3"/>
  <c r="I22" i="3"/>
  <c r="H14" i="3"/>
  <c r="I14" i="3"/>
  <c r="P20" i="3"/>
  <c r="Q20" i="3"/>
  <c r="P18" i="3"/>
  <c r="Q18" i="3"/>
  <c r="X16" i="3"/>
  <c r="Y16" i="3"/>
  <c r="X21" i="3"/>
  <c r="Y21" i="3"/>
  <c r="X13" i="3"/>
  <c r="Z40" i="5"/>
  <c r="Z39" i="5"/>
  <c r="Y13" i="3"/>
  <c r="P19" i="3"/>
  <c r="Q19" i="3"/>
  <c r="X20" i="3"/>
  <c r="Y20" i="3"/>
  <c r="X19" i="3"/>
  <c r="Y19" i="3"/>
  <c r="AJ18" i="5" l="1"/>
  <c r="AK20" i="5"/>
  <c r="AJ15" i="5"/>
  <c r="AM15" i="5" s="1"/>
  <c r="AJ16" i="5"/>
  <c r="AK19" i="5"/>
  <c r="AL19" i="5" s="1"/>
  <c r="AL16" i="5"/>
  <c r="AL15" i="5"/>
  <c r="AK17" i="5"/>
  <c r="AJ17" i="5"/>
  <c r="AM17" i="5"/>
  <c r="AM19" i="5"/>
  <c r="AM18" i="5"/>
  <c r="AL18" i="5"/>
  <c r="AM20" i="5"/>
  <c r="AL20" i="5"/>
  <c r="AM16" i="5"/>
  <c r="AL17" i="5" l="1"/>
</calcChain>
</file>

<file path=xl/sharedStrings.xml><?xml version="1.0" encoding="utf-8"?>
<sst xmlns="http://schemas.openxmlformats.org/spreadsheetml/2006/main" count="384" uniqueCount="129">
  <si>
    <t>Scrolling table - details of KPI</t>
  </si>
  <si>
    <t>App 1</t>
  </si>
  <si>
    <t>App 2</t>
  </si>
  <si>
    <t>App 3</t>
  </si>
  <si>
    <t>App 4</t>
  </si>
  <si>
    <t>App 5</t>
  </si>
  <si>
    <t>App 6</t>
  </si>
  <si>
    <t>App 7</t>
  </si>
  <si>
    <t>App 9</t>
  </si>
  <si>
    <t>App 8</t>
  </si>
  <si>
    <t>App 10</t>
  </si>
  <si>
    <t>Actual</t>
  </si>
  <si>
    <t>% PY</t>
  </si>
  <si>
    <t>% B</t>
  </si>
  <si>
    <t>KPI 1</t>
  </si>
  <si>
    <t>KPI 2</t>
  </si>
  <si>
    <t>KPI 3</t>
  </si>
  <si>
    <t>99 / 142 / 198</t>
  </si>
  <si>
    <t>Budget</t>
  </si>
  <si>
    <t>119 / 187 / 226</t>
  </si>
  <si>
    <t>PY</t>
  </si>
  <si>
    <t>210 / 233 / 246</t>
  </si>
  <si>
    <t>Colors:</t>
  </si>
  <si>
    <t>Text:</t>
  </si>
  <si>
    <t>Arial</t>
  </si>
  <si>
    <t xml:space="preserve"> 1. Align Objects</t>
  </si>
  <si>
    <t xml:space="preserve"> 2. Group Objects</t>
  </si>
  <si>
    <t xml:space="preserve"> 3. Insert Shapes</t>
  </si>
  <si>
    <t xml:space="preserve"> 4. Shape Fill</t>
  </si>
  <si>
    <t xml:space="preserve"> 5. Change Outline Color</t>
  </si>
  <si>
    <t xml:space="preserve"> </t>
  </si>
  <si>
    <t>Some Important Customize Quick Access Toolbars ==&gt; Tools that need to access quickly.</t>
  </si>
  <si>
    <t>Connected to Database via add-in</t>
  </si>
  <si>
    <t>Actual PY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</si>
  <si>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</si>
  <si>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</si>
  <si>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</si>
  <si>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</si>
  <si>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</si>
  <si>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</si>
  <si>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</si>
  <si>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</si>
  <si>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</si>
  <si>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</si>
  <si>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</si>
  <si>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</si>
  <si>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</si>
  <si>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</si>
  <si>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</si>
  <si>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</si>
  <si>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</si>
  <si>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</si>
  <si>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</si>
  <si>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</si>
  <si>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</si>
  <si>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</si>
  <si>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</si>
  <si>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</si>
  <si>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</si>
  <si>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</si>
  <si>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</si>
  <si>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</si>
  <si>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</si>
  <si>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</si>
  <si>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</si>
  <si>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</si>
  <si>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</si>
  <si>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</si>
  <si>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</si>
  <si>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</si>
  <si>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</si>
  <si>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</si>
  <si>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</si>
  <si>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</si>
  <si>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</si>
  <si>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</si>
  <si>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</si>
  <si>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</si>
  <si>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</si>
  <si>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</si>
  <si>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</si>
  <si>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</si>
  <si>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</si>
  <si>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</si>
  <si>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</si>
  <si>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</si>
  <si>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</si>
  <si>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</si>
  <si>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</si>
  <si>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</si>
  <si>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</si>
  <si>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</si>
  <si>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</si>
  <si>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</si>
  <si>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</si>
  <si>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Information (Form controls)</t>
  </si>
  <si>
    <t>Selected Division</t>
  </si>
  <si>
    <t>For Drop-down selections</t>
  </si>
  <si>
    <t>App to Division Allocation</t>
  </si>
  <si>
    <t/>
  </si>
  <si>
    <t>Calculations for scrolling table</t>
  </si>
  <si>
    <t>Nr.</t>
  </si>
  <si>
    <t>App</t>
  </si>
  <si>
    <t xml:space="preserve">Profit </t>
  </si>
  <si>
    <t>Variance Actual to PY</t>
  </si>
  <si>
    <t>Variance Actual to Budget</t>
  </si>
  <si>
    <t>% Revenue</t>
  </si>
  <si>
    <t xml:space="preserve">% Profit </t>
  </si>
  <si>
    <t>% Cash</t>
  </si>
  <si>
    <t>Calculations for data bars in scrolling table</t>
  </si>
  <si>
    <t>Min %</t>
  </si>
  <si>
    <t>Max %</t>
  </si>
  <si>
    <r>
      <t xml:space="preserve">% </t>
    </r>
    <r>
      <rPr>
        <sz val="10"/>
        <color theme="1"/>
        <rFont val="Calibri"/>
        <family val="2"/>
      </rPr>
      <t>Δ</t>
    </r>
    <r>
      <rPr>
        <sz val="10"/>
        <color theme="1"/>
        <rFont val="Arial"/>
        <family val="2"/>
      </rPr>
      <t xml:space="preserve"> PY</t>
    </r>
  </si>
  <si>
    <r>
      <t xml:space="preserve">% </t>
    </r>
    <r>
      <rPr>
        <sz val="10"/>
        <color theme="1"/>
        <rFont val="Calibri"/>
        <family val="2"/>
      </rPr>
      <t>Δ</t>
    </r>
    <r>
      <rPr>
        <sz val="10"/>
        <color theme="1"/>
        <rFont val="Arial"/>
        <family val="2"/>
      </rPr>
      <t xml:space="preserve"> B</t>
    </r>
  </si>
  <si>
    <t>Calculations for header</t>
  </si>
  <si>
    <t>Top 6 / Bottom by KPI</t>
  </si>
  <si>
    <t>Table Scroll Position</t>
  </si>
  <si>
    <t>KPI Selection</t>
  </si>
  <si>
    <t>Sorted</t>
  </si>
  <si>
    <t>Top or Bottom Selection</t>
  </si>
  <si>
    <t>Label</t>
  </si>
  <si>
    <t>Position Label</t>
  </si>
  <si>
    <t>Profit Line Chart</t>
  </si>
  <si>
    <t>Profit Scroll Position</t>
  </si>
  <si>
    <t>Actual Plot</t>
  </si>
  <si>
    <t>Plotting CY</t>
  </si>
  <si>
    <t>Label Position</t>
  </si>
  <si>
    <t>PY Checkbox</t>
  </si>
  <si>
    <t>Budget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</si>
</sst>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$-409]#,##0"/>
  </numFmts>
  <fonts count="1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14"/>
      <color theme="0"/>
      <name val="Arial"/>
      <family val="2"/>
      <scheme val="minor"/>
    </font>
    <font>
      <sz val="8"/>
      <color rgb="FF000000"/>
      <name val="Segoe UI"/>
      <family val="2"/>
    </font>
    <font>
      <sz val="8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E9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3" fillId="6" borderId="9" xfId="0" applyFont="1" applyFill="1" applyBorder="1"/>
    <xf numFmtId="0" fontId="2" fillId="7" borderId="0" xfId="0" applyFont="1" applyFill="1"/>
    <xf numFmtId="0" fontId="3" fillId="7" borderId="0" xfId="0" applyFont="1" applyFill="1"/>
    <xf numFmtId="0" fontId="3" fillId="7" borderId="9" xfId="0" applyFont="1" applyFill="1" applyBorder="1"/>
    <xf numFmtId="0" fontId="2" fillId="8" borderId="0" xfId="0" applyFont="1" applyFill="1"/>
    <xf numFmtId="0" fontId="2" fillId="8" borderId="9" xfId="0" applyFont="1" applyFill="1" applyBorder="1"/>
    <xf numFmtId="0" fontId="2" fillId="7" borderId="5" xfId="0" applyFont="1" applyFill="1" applyBorder="1"/>
    <xf numFmtId="0" fontId="3" fillId="8" borderId="0" xfId="0" applyFont="1" applyFill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9" borderId="0" xfId="0" applyFill="1" applyAlignment="1">
      <alignment horizontal="left"/>
    </xf>
    <xf numFmtId="0" fontId="0" fillId="9" borderId="4" xfId="0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9" borderId="10" xfId="0" applyFill="1" applyBorder="1" applyAlignment="1">
      <alignment horizontal="left"/>
    </xf>
    <xf numFmtId="0" fontId="0" fillId="9" borderId="12" xfId="0" applyFill="1" applyBorder="1" applyAlignment="1">
      <alignment horizontal="left"/>
    </xf>
    <xf numFmtId="0" fontId="0" fillId="9" borderId="11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10" borderId="0" xfId="0" applyFill="1"/>
    <xf numFmtId="0" fontId="3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9" fontId="0" fillId="0" borderId="0" xfId="1" applyFont="1"/>
    <xf numFmtId="9" fontId="0" fillId="0" borderId="7" xfId="1" applyFont="1" applyBorder="1"/>
    <xf numFmtId="9" fontId="0" fillId="0" borderId="0" xfId="0" applyNumberFormat="1"/>
    <xf numFmtId="0" fontId="0" fillId="0" borderId="0" xfId="0" applyAlignment="1">
      <alignment horizontal="centerContinuous"/>
    </xf>
    <xf numFmtId="0" fontId="5" fillId="12" borderId="0" xfId="0" applyFont="1" applyFill="1"/>
    <xf numFmtId="0" fontId="1" fillId="0" borderId="0" xfId="0" applyFont="1" applyAlignment="1">
      <alignment horizontal="centerContinuous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2" borderId="0" xfId="0" applyFont="1" applyFill="1"/>
    <xf numFmtId="0" fontId="6" fillId="13" borderId="0" xfId="0" applyFont="1" applyFill="1"/>
    <xf numFmtId="0" fontId="6" fillId="3" borderId="0" xfId="0" applyFont="1" applyFill="1"/>
    <xf numFmtId="3" fontId="6" fillId="0" borderId="0" xfId="0" applyNumberFormat="1" applyFont="1"/>
    <xf numFmtId="164" fontId="6" fillId="0" borderId="0" xfId="1" applyNumberFormat="1" applyFont="1"/>
    <xf numFmtId="164" fontId="6" fillId="0" borderId="0" xfId="0" applyNumberFormat="1" applyFont="1"/>
    <xf numFmtId="0" fontId="1" fillId="12" borderId="0" xfId="0" applyFont="1" applyFill="1" applyAlignment="1">
      <alignment horizontal="left"/>
    </xf>
    <xf numFmtId="3" fontId="0" fillId="0" borderId="0" xfId="0" applyNumberFormat="1"/>
    <xf numFmtId="165" fontId="0" fillId="0" borderId="0" xfId="0" applyNumberFormat="1"/>
    <xf numFmtId="0" fontId="6" fillId="15" borderId="0" xfId="0" applyFont="1" applyFill="1"/>
    <xf numFmtId="3" fontId="6" fillId="15" borderId="0" xfId="0" applyNumberFormat="1" applyFont="1" applyFill="1"/>
    <xf numFmtId="164" fontId="6" fillId="15" borderId="0" xfId="1" applyNumberFormat="1" applyFont="1" applyFill="1"/>
    <xf numFmtId="164" fontId="6" fillId="15" borderId="0" xfId="0" applyNumberFormat="1" applyFont="1" applyFill="1"/>
    <xf numFmtId="0" fontId="0" fillId="15" borderId="0" xfId="0" applyFill="1"/>
    <xf numFmtId="0" fontId="9" fillId="2" borderId="0" xfId="0" applyFont="1" applyFill="1"/>
    <xf numFmtId="0" fontId="6" fillId="14" borderId="0" xfId="0" applyFont="1" applyFill="1"/>
    <xf numFmtId="0" fontId="0" fillId="1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6"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77BBE2"/>
      <color rgb="FFD2E9F6"/>
      <color rgb="FF638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5338763120110453E-2"/>
          <c:y val="0.19560694953602362"/>
          <c:w val="0.94932247375977907"/>
          <c:h val="0.6503194008546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calculation!$AJ$14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calculation!$AI$15:$AI$20</c:f>
              <c:strCache>
                <c:ptCount val="6"/>
                <c:pt idx="0">
                  <c:v>Mosquit</c:v>
                </c:pt>
                <c:pt idx="1">
                  <c:v>Motocyco</c:v>
                </c:pt>
                <c:pt idx="2">
                  <c:v>Tanox</c:v>
                </c:pt>
                <c:pt idx="3">
                  <c:v>Accord</c:v>
                </c:pt>
                <c:pt idx="4">
                  <c:v>Minor Liar</c:v>
                </c:pt>
                <c:pt idx="5">
                  <c:v>Commuta</c:v>
                </c:pt>
              </c:strCache>
            </c:strRef>
          </c:cat>
          <c:val>
            <c:numRef>
              <c:f>calculation!$AJ$15:$AJ$20</c:f>
              <c:numCache>
                <c:formatCode>#,##0</c:formatCode>
                <c:ptCount val="6"/>
                <c:pt idx="0">
                  <c:v>240</c:v>
                </c:pt>
                <c:pt idx="1">
                  <c:v>1193</c:v>
                </c:pt>
                <c:pt idx="2">
                  <c:v>1264</c:v>
                </c:pt>
                <c:pt idx="3">
                  <c:v>800</c:v>
                </c:pt>
                <c:pt idx="4">
                  <c:v>1012.0000000000001</c:v>
                </c:pt>
                <c:pt idx="5">
                  <c:v>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6D-416D-BEC7-2D81D91ED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6848560"/>
        <c:axId val="306856720"/>
      </c:barChart>
      <c:lineChart>
        <c:grouping val="standard"/>
        <c:varyColors val="0"/>
        <c:ser>
          <c:idx val="1"/>
          <c:order val="1"/>
          <c:tx>
            <c:strRef>
              <c:f>calculation!$AK$14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101600" cap="flat" cmpd="sng" algn="ctr">
                <a:solidFill>
                  <a:srgbClr val="77BBE2"/>
                </a:solidFill>
                <a:round/>
              </a:ln>
              <a:effectLst/>
            </c:spPr>
          </c:errBars>
          <c:cat>
            <c:strRef>
              <c:f>calculation!$AI$15:$AI$20</c:f>
              <c:strCache>
                <c:ptCount val="6"/>
                <c:pt idx="0">
                  <c:v>Mosquit</c:v>
                </c:pt>
                <c:pt idx="1">
                  <c:v>Motocyco</c:v>
                </c:pt>
                <c:pt idx="2">
                  <c:v>Tanox</c:v>
                </c:pt>
                <c:pt idx="3">
                  <c:v>Accord</c:v>
                </c:pt>
                <c:pt idx="4">
                  <c:v>Minor Liar</c:v>
                </c:pt>
                <c:pt idx="5">
                  <c:v>Commuta</c:v>
                </c:pt>
              </c:strCache>
            </c:strRef>
          </c:cat>
          <c:val>
            <c:numRef>
              <c:f>calculation!$AK$15:$AK$20</c:f>
              <c:numCache>
                <c:formatCode>#,##0</c:formatCode>
                <c:ptCount val="6"/>
                <c:pt idx="0">
                  <c:v>156</c:v>
                </c:pt>
                <c:pt idx="1">
                  <c:v>810</c:v>
                </c:pt>
                <c:pt idx="2">
                  <c:v>860</c:v>
                </c:pt>
                <c:pt idx="3">
                  <c:v>572</c:v>
                </c:pt>
                <c:pt idx="4">
                  <c:v>723.80000000000007</c:v>
                </c:pt>
                <c:pt idx="5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D-416D-BEC7-2D81D91ED584}"/>
            </c:ext>
          </c:extLst>
        </c:ser>
        <c:ser>
          <c:idx val="2"/>
          <c:order val="2"/>
          <c:tx>
            <c:strRef>
              <c:f>calculation!$AL$14</c:f>
              <c:strCache>
                <c:ptCount val="1"/>
                <c:pt idx="0">
                  <c:v>Position Label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271381C-4AF2-46A5-8532-DC652CBCC87E}" type="CELLRANGE">
                      <a:rPr lang="en-US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46D-416D-BEC7-2D81D91ED58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4A2F71E-37C0-4933-9617-FAEE1AADDD04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46D-416D-BEC7-2D81D91ED58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3517805-0BCD-466D-A3E1-7064C6A83534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46D-416D-BEC7-2D81D91ED58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DD7DABB-0146-4477-AD36-B648BDA9FA6C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46D-416D-BEC7-2D81D91ED58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85BDA8A-CE3F-47C3-81E6-AA14F6CE60E8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46D-416D-BEC7-2D81D91ED58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C0090E6-A7C2-4148-9BC5-03921DE1798B}" type="CELLRANGE">
                      <a:rPr lang="en-ID"/>
                      <a:pPr/>
                      <a:t>[CELLRANGE]</a:t>
                    </a:fld>
                    <a:endParaRPr lang="en-ID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46D-416D-BEC7-2D81D91ED584}"/>
                </c:ext>
              </c:extLst>
            </c:dLbl>
            <c:spPr>
              <a:noFill/>
              <a:ln>
                <a:solidFill>
                  <a:srgbClr val="638EC6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calculation!$AI$15:$AI$20</c:f>
              <c:strCache>
                <c:ptCount val="6"/>
                <c:pt idx="0">
                  <c:v>Mosquit</c:v>
                </c:pt>
                <c:pt idx="1">
                  <c:v>Motocyco</c:v>
                </c:pt>
                <c:pt idx="2">
                  <c:v>Tanox</c:v>
                </c:pt>
                <c:pt idx="3">
                  <c:v>Accord</c:v>
                </c:pt>
                <c:pt idx="4">
                  <c:v>Minor Liar</c:v>
                </c:pt>
                <c:pt idx="5">
                  <c:v>Commuta</c:v>
                </c:pt>
              </c:strCache>
            </c:strRef>
          </c:cat>
          <c:val>
            <c:numRef>
              <c:f>calculation!$AL$15:$AL$20</c:f>
              <c:numCache>
                <c:formatCode>#,##0</c:formatCode>
                <c:ptCount val="6"/>
                <c:pt idx="0">
                  <c:v>240</c:v>
                </c:pt>
                <c:pt idx="1">
                  <c:v>1193</c:v>
                </c:pt>
                <c:pt idx="2">
                  <c:v>1264</c:v>
                </c:pt>
                <c:pt idx="3">
                  <c:v>800</c:v>
                </c:pt>
                <c:pt idx="4">
                  <c:v>1012.0000000000001</c:v>
                </c:pt>
                <c:pt idx="5">
                  <c:v>762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calculation!$AM$15:$AM$20</c15:f>
                <c15:dlblRangeCache>
                  <c:ptCount val="6"/>
                  <c:pt idx="0">
                    <c:v>54% | $240</c:v>
                  </c:pt>
                  <c:pt idx="1">
                    <c:v>47% | $1.193</c:v>
                  </c:pt>
                  <c:pt idx="2">
                    <c:v>47% | $1.264</c:v>
                  </c:pt>
                  <c:pt idx="3">
                    <c:v>40% | $800</c:v>
                  </c:pt>
                  <c:pt idx="4">
                    <c:v>40% | $1.012</c:v>
                  </c:pt>
                  <c:pt idx="5">
                    <c:v>34% | $762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A46D-416D-BEC7-2D81D91ED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848560"/>
        <c:axId val="306856720"/>
      </c:lineChart>
      <c:catAx>
        <c:axId val="30684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856720"/>
        <c:crosses val="autoZero"/>
        <c:auto val="1"/>
        <c:lblAlgn val="ctr"/>
        <c:lblOffset val="100"/>
        <c:noMultiLvlLbl val="0"/>
      </c:catAx>
      <c:valAx>
        <c:axId val="30685672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30684856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39958579634198893"/>
          <c:y val="3.9801281560864682E-2"/>
          <c:w val="9.4247341806121099E-2"/>
          <c:h val="5.7785637505163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62087494685782"/>
          <c:y val="5.012723778467032E-2"/>
          <c:w val="0.78718890843898848"/>
          <c:h val="0.84970942707832475"/>
        </c:manualLayout>
      </c:layout>
      <c:lineChart>
        <c:grouping val="standard"/>
        <c:varyColors val="0"/>
        <c:ser>
          <c:idx val="1"/>
          <c:order val="0"/>
          <c:tx>
            <c:strRef>
              <c:f>calculation!$AV$15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Budget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79E-4A20-820C-AD3958E6ED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calculation!$AS$16:$AS$27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calculation!$AY$16:$AY$27</c:f>
              <c:numCache>
                <c:formatCode>#,##0</c:formatCode>
                <c:ptCount val="12"/>
                <c:pt idx="0">
                  <c:v>8</c:v>
                </c:pt>
                <c:pt idx="1">
                  <c:v>12</c:v>
                </c:pt>
                <c:pt idx="2">
                  <c:v>44</c:v>
                </c:pt>
                <c:pt idx="3">
                  <c:v>94</c:v>
                </c:pt>
                <c:pt idx="4">
                  <c:v>143</c:v>
                </c:pt>
                <c:pt idx="5">
                  <c:v>156</c:v>
                </c:pt>
                <c:pt idx="6">
                  <c:v>197</c:v>
                </c:pt>
                <c:pt idx="7">
                  <c:v>204</c:v>
                </c:pt>
                <c:pt idx="8">
                  <c:v>216</c:v>
                </c:pt>
                <c:pt idx="9">
                  <c:v>239</c:v>
                </c:pt>
                <c:pt idx="10">
                  <c:v>246</c:v>
                </c:pt>
                <c:pt idx="11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9E-4A20-820C-AD3958E6ED2F}"/>
            </c:ext>
          </c:extLst>
        </c:ser>
        <c:ser>
          <c:idx val="2"/>
          <c:order val="1"/>
          <c:tx>
            <c:strRef>
              <c:f>calculation!$AU$15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tx>
                <c:rich>
                  <a:bodyPr/>
                  <a:lstStyle/>
                  <a:p>
                    <a:r>
                      <a:rPr lang="en-US"/>
                      <a:t>PY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79E-4A20-820C-AD3958E6ED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calculation!$AS$16:$AS$27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calculation!$AX$16:$AX$27</c:f>
              <c:numCache>
                <c:formatCode>#,##0</c:formatCode>
                <c:ptCount val="12"/>
                <c:pt idx="0">
                  <c:v>20</c:v>
                </c:pt>
                <c:pt idx="1">
                  <c:v>22</c:v>
                </c:pt>
                <c:pt idx="2">
                  <c:v>35</c:v>
                </c:pt>
                <c:pt idx="3">
                  <c:v>68</c:v>
                </c:pt>
                <c:pt idx="4">
                  <c:v>78</c:v>
                </c:pt>
                <c:pt idx="5">
                  <c:v>80</c:v>
                </c:pt>
                <c:pt idx="6">
                  <c:v>98</c:v>
                </c:pt>
                <c:pt idx="7">
                  <c:v>101</c:v>
                </c:pt>
                <c:pt idx="8">
                  <c:v>101</c:v>
                </c:pt>
                <c:pt idx="9">
                  <c:v>110</c:v>
                </c:pt>
                <c:pt idx="10">
                  <c:v>126</c:v>
                </c:pt>
                <c:pt idx="11">
                  <c:v>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9E-4A20-820C-AD3958E6ED2F}"/>
            </c:ext>
          </c:extLst>
        </c:ser>
        <c:ser>
          <c:idx val="0"/>
          <c:order val="2"/>
          <c:tx>
            <c:strRef>
              <c:f>calculation!$AT$15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calculation!$AS$16:$AS$27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calculation!$AW$16:$AW$27</c:f>
              <c:numCache>
                <c:formatCode>#,##0</c:formatCode>
                <c:ptCount val="12"/>
                <c:pt idx="0">
                  <c:v>36</c:v>
                </c:pt>
                <c:pt idx="1">
                  <c:v>81</c:v>
                </c:pt>
                <c:pt idx="2">
                  <c:v>100</c:v>
                </c:pt>
                <c:pt idx="3">
                  <c:v>143</c:v>
                </c:pt>
                <c:pt idx="4">
                  <c:v>205</c:v>
                </c:pt>
                <c:pt idx="5">
                  <c:v>240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9E-4A20-820C-AD3958E6E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116416"/>
        <c:axId val="307116896"/>
      </c:lineChart>
      <c:scatterChart>
        <c:scatterStyle val="lineMarker"/>
        <c:varyColors val="0"/>
        <c:ser>
          <c:idx val="3"/>
          <c:order val="3"/>
          <c:tx>
            <c:strRef>
              <c:f>calculation!$AZ$14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dLbls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Actual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79E-4A20-820C-AD3958E6ED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calculation!$AS$16:$AS$27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calculation!$AZ$16:$AZ$27</c:f>
              <c:numCache>
                <c:formatCode>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240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79E-4A20-820C-AD3958E6E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116416"/>
        <c:axId val="307116896"/>
      </c:scatterChart>
      <c:catAx>
        <c:axId val="30711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6896"/>
        <c:crosses val="autoZero"/>
        <c:auto val="1"/>
        <c:lblAlgn val="ctr"/>
        <c:lblOffset val="100"/>
        <c:noMultiLvlLbl val="0"/>
      </c:catAx>
      <c:valAx>
        <c:axId val="3071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116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3" dropStyle="combo" dx="26" fmlaLink="calculation!$D$4" fmlaRange="calculation!$C$15:$C$17" noThreeD="1" sel="3" val="0"/>
</file>

<file path=xl/ctrlProps/ctrlProp2.xml><?xml version="1.0" encoding="utf-8"?>
<formControlPr xmlns="http://schemas.microsoft.com/office/spreadsheetml/2009/9/main" objectType="List" dx="26" fmlaLink="calculation!$D$6" fmlaRange="calculation!$D$15:$D$17" noThreeD="1" sel="2" val="0"/>
</file>

<file path=xl/ctrlProps/ctrlProp3.xml><?xml version="1.0" encoding="utf-8"?>
<formControlPr xmlns="http://schemas.microsoft.com/office/spreadsheetml/2009/9/main" objectType="Radio" checked="Checked" firstButton="1" fmlaLink="calculation!$D$7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Scroll" dx="26" fmlaLink="calculation!$D$5" max="11" min="1" page="10"/>
</file>

<file path=xl/ctrlProps/ctrlProp6.xml><?xml version="1.0" encoding="utf-8"?>
<formControlPr xmlns="http://schemas.microsoft.com/office/spreadsheetml/2009/9/main" objectType="Scroll" dx="26" fmlaLink="calculation!$D$8" horiz="1" max="20" min="1" page="10" val="9"/>
</file>

<file path=xl/ctrlProps/ctrlProp7.xml><?xml version="1.0" encoding="utf-8"?>
<formControlPr xmlns="http://schemas.microsoft.com/office/spreadsheetml/2009/9/main" objectType="CheckBox" checked="Checked" fmlaLink="calculation!$D$9" lockText="1" noThreeD="1"/>
</file>

<file path=xl/ctrlProps/ctrlProp8.xml><?xml version="1.0" encoding="utf-8"?>
<formControlPr xmlns="http://schemas.microsoft.com/office/spreadsheetml/2009/9/main" objectType="CheckBox" checked="Checked" fmlaLink="calculation!$D$10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</xdr:colOff>
          <xdr:row>6</xdr:row>
          <xdr:rowOff>0</xdr:rowOff>
        </xdr:from>
        <xdr:to>
          <xdr:col>7</xdr:col>
          <xdr:colOff>533400</xdr:colOff>
          <xdr:row>7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182880</xdr:colOff>
          <xdr:row>12</xdr:row>
          <xdr:rowOff>0</xdr:rowOff>
        </xdr:from>
        <xdr:to>
          <xdr:col>28</xdr:col>
          <xdr:colOff>350520</xdr:colOff>
          <xdr:row>22</xdr:row>
          <xdr:rowOff>1150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30480</xdr:colOff>
      <xdr:row>0</xdr:row>
      <xdr:rowOff>53340</xdr:rowOff>
    </xdr:from>
    <xdr:to>
      <xdr:col>4</xdr:col>
      <xdr:colOff>214030</xdr:colOff>
      <xdr:row>4</xdr:row>
      <xdr:rowOff>99060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8B6EA8-2912-44C3-A06A-0B92072B91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30480" y="53340"/>
          <a:ext cx="953170" cy="685800"/>
        </a:xfrm>
        <a:prstGeom prst="rect">
          <a:avLst/>
        </a:prstGeom>
        <a:noFill/>
      </xdr:spPr>
    </xdr:pic>
    <xdr:clientData/>
  </xdr:twoCellAnchor>
  <xdr:twoCellAnchor>
    <xdr:from>
      <xdr:col>12</xdr:col>
      <xdr:colOff>35183</xdr:colOff>
      <xdr:row>1</xdr:row>
      <xdr:rowOff>69553</xdr:rowOff>
    </xdr:from>
    <xdr:to>
      <xdr:col>16</xdr:col>
      <xdr:colOff>623869</xdr:colOff>
      <xdr:row>8</xdr:row>
      <xdr:rowOff>84793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67AB86B8-EB83-D16F-D625-3DDB2B38517B}"/>
            </a:ext>
          </a:extLst>
        </xdr:cNvPr>
        <xdr:cNvGrpSpPr/>
      </xdr:nvGrpSpPr>
      <xdr:grpSpPr>
        <a:xfrm>
          <a:off x="4671448" y="243987"/>
          <a:ext cx="2461554" cy="1172011"/>
          <a:chOff x="6126480" y="213360"/>
          <a:chExt cx="2872740" cy="118110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7C9038B3-CB6F-8F2C-9C3E-179738FDA725}"/>
              </a:ext>
            </a:extLst>
          </xdr:cNvPr>
          <xdr:cNvSpPr/>
        </xdr:nvSpPr>
        <xdr:spPr>
          <a:xfrm>
            <a:off x="6126480" y="213360"/>
            <a:ext cx="2872740" cy="1181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D" sz="1100" kern="1200"/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5CCA30C8-27B4-2EAE-8E76-14A3BE5064FA}"/>
              </a:ext>
            </a:extLst>
          </xdr:cNvPr>
          <xdr:cNvSpPr txBox="1"/>
        </xdr:nvSpPr>
        <xdr:spPr>
          <a:xfrm>
            <a:off x="6256020" y="342900"/>
            <a:ext cx="1432560" cy="31242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D" sz="1400" b="1" kern="1200"/>
              <a:t>Revenue</a:t>
            </a:r>
          </a:p>
        </xdr:txBody>
      </xdr:sp>
      <xdr:sp macro="" textlink="calculation!O36">
        <xdr:nvSpPr>
          <xdr:cNvPr id="5" name="TextBox 4">
            <a:extLst>
              <a:ext uri="{FF2B5EF4-FFF2-40B4-BE49-F238E27FC236}">
                <a16:creationId xmlns:a16="http://schemas.microsoft.com/office/drawing/2014/main" id="{A75FC5EC-235F-0E9F-780A-C48DD2385FC9}"/>
              </a:ext>
            </a:extLst>
          </xdr:cNvPr>
          <xdr:cNvSpPr txBox="1"/>
        </xdr:nvSpPr>
        <xdr:spPr>
          <a:xfrm>
            <a:off x="6263640" y="640080"/>
            <a:ext cx="2613660" cy="3200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21A9D1B9-B012-42A1-9CF2-A03E7480A1BB}" type="TxLink">
              <a:rPr lang="en-US" sz="2000" b="1" i="0" u="none" strike="noStrike" kern="1200">
                <a:solidFill>
                  <a:srgbClr val="000000"/>
                </a:solidFill>
                <a:latin typeface="Arial"/>
                <a:cs typeface="Arial"/>
              </a:rPr>
              <a:pPr algn="ctr"/>
              <a:t>$189.979</a:t>
            </a:fld>
            <a:endParaRPr lang="en-ID" sz="2000" b="1" kern="1200"/>
          </a:p>
        </xdr:txBody>
      </xdr:sp>
      <xdr:sp macro="" textlink="calculation!O39">
        <xdr:nvSpPr>
          <xdr:cNvPr id="6" name="TextBox 5">
            <a:extLst>
              <a:ext uri="{FF2B5EF4-FFF2-40B4-BE49-F238E27FC236}">
                <a16:creationId xmlns:a16="http://schemas.microsoft.com/office/drawing/2014/main" id="{909F7210-7B8D-1326-6F03-331FBFF4ED5F}"/>
              </a:ext>
            </a:extLst>
          </xdr:cNvPr>
          <xdr:cNvSpPr txBox="1"/>
        </xdr:nvSpPr>
        <xdr:spPr>
          <a:xfrm>
            <a:off x="6324600" y="1097280"/>
            <a:ext cx="845820" cy="22098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40D080E4-677F-45A7-9205-3B40E1F1D884}" type="TxLink">
              <a:rPr lang="en-US" sz="1100" b="0" i="0" u="none" strike="noStrike" kern="1200">
                <a:solidFill>
                  <a:srgbClr val="000000"/>
                </a:solidFill>
                <a:latin typeface="Arial"/>
                <a:cs typeface="Arial"/>
              </a:rPr>
              <a:pPr/>
              <a:t>$8.514</a:t>
            </a:fld>
            <a:endParaRPr lang="en-ID" sz="1100" kern="1200"/>
          </a:p>
        </xdr:txBody>
      </xdr:sp>
      <xdr:sp macro="" textlink="calculation!P39">
        <xdr:nvSpPr>
          <xdr:cNvPr id="7" name="TextBox 6">
            <a:extLst>
              <a:ext uri="{FF2B5EF4-FFF2-40B4-BE49-F238E27FC236}">
                <a16:creationId xmlns:a16="http://schemas.microsoft.com/office/drawing/2014/main" id="{8F02BA52-FB04-47EE-99BE-A71A2F73ED54}"/>
              </a:ext>
            </a:extLst>
          </xdr:cNvPr>
          <xdr:cNvSpPr txBox="1"/>
        </xdr:nvSpPr>
        <xdr:spPr>
          <a:xfrm>
            <a:off x="7566656" y="1127760"/>
            <a:ext cx="1263579" cy="19050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6EFBB798-6B90-4802-B254-BBDFB91B77E1}" type="TxLink">
              <a:rPr lang="en-US" sz="1100" b="0" i="0" u="none" strike="noStrike" kern="1200">
                <a:solidFill>
                  <a:srgbClr val="000000"/>
                </a:solidFill>
                <a:latin typeface="Arial"/>
                <a:cs typeface="Arial"/>
              </a:rPr>
              <a:pPr/>
              <a:t>Over Budget</a:t>
            </a:fld>
            <a:endParaRPr lang="en-ID" sz="1100" kern="1200"/>
          </a:p>
        </xdr:txBody>
      </xdr:sp>
    </xdr:grpSp>
    <xdr:clientData/>
  </xdr:twoCellAnchor>
  <xdr:twoCellAnchor>
    <xdr:from>
      <xdr:col>16</xdr:col>
      <xdr:colOff>669589</xdr:colOff>
      <xdr:row>1</xdr:row>
      <xdr:rowOff>77173</xdr:rowOff>
    </xdr:from>
    <xdr:to>
      <xdr:col>23</xdr:col>
      <xdr:colOff>209470</xdr:colOff>
      <xdr:row>8</xdr:row>
      <xdr:rowOff>92413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27BECE34-1624-4AE0-8183-D5C19F2E3BB4}"/>
            </a:ext>
          </a:extLst>
        </xdr:cNvPr>
        <xdr:cNvGrpSpPr/>
      </xdr:nvGrpSpPr>
      <xdr:grpSpPr>
        <a:xfrm>
          <a:off x="7178722" y="251607"/>
          <a:ext cx="2459350" cy="1172011"/>
          <a:chOff x="6126480" y="213360"/>
          <a:chExt cx="2872740" cy="1181100"/>
        </a:xfrm>
        <a:solidFill>
          <a:schemeClr val="accent2"/>
        </a:solidFill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58B0E510-D8BF-A912-7CAC-E105B5319260}"/>
              </a:ext>
            </a:extLst>
          </xdr:cNvPr>
          <xdr:cNvSpPr/>
        </xdr:nvSpPr>
        <xdr:spPr>
          <a:xfrm>
            <a:off x="6126480" y="213360"/>
            <a:ext cx="2872740" cy="1181100"/>
          </a:xfrm>
          <a:prstGeom prst="rect">
            <a:avLst/>
          </a:prstGeom>
          <a:grp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D" sz="1100" kern="1200"/>
          </a:p>
        </xdr:txBody>
      </xdr: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1E513D53-5803-D439-702A-D8F9F3CE96B7}"/>
              </a:ext>
            </a:extLst>
          </xdr:cNvPr>
          <xdr:cNvSpPr txBox="1"/>
        </xdr:nvSpPr>
        <xdr:spPr>
          <a:xfrm>
            <a:off x="6256020" y="342900"/>
            <a:ext cx="1432560" cy="31242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D" sz="1400" b="1" kern="1200"/>
              <a:t>Profit</a:t>
            </a:r>
          </a:p>
        </xdr:txBody>
      </xdr:sp>
      <xdr:sp macro="" textlink="calculation!O40">
        <xdr:nvSpPr>
          <xdr:cNvPr id="31" name="TextBox 30">
            <a:extLst>
              <a:ext uri="{FF2B5EF4-FFF2-40B4-BE49-F238E27FC236}">
                <a16:creationId xmlns:a16="http://schemas.microsoft.com/office/drawing/2014/main" id="{A9DC9681-6BB4-6F52-6208-4E2B8117E1B0}"/>
              </a:ext>
            </a:extLst>
          </xdr:cNvPr>
          <xdr:cNvSpPr txBox="1"/>
        </xdr:nvSpPr>
        <xdr:spPr>
          <a:xfrm>
            <a:off x="6263640" y="640080"/>
            <a:ext cx="2613660" cy="32004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F6FDD6B1-D388-4DB1-9DC2-8286DC1AAA43}" type="TxLink">
              <a:rPr lang="en-US" sz="2400" b="1" i="0" u="none" strike="noStrike" kern="1200">
                <a:solidFill>
                  <a:srgbClr val="000000"/>
                </a:solidFill>
                <a:latin typeface="Arial"/>
                <a:cs typeface="Arial"/>
              </a:rPr>
              <a:pPr algn="ctr"/>
              <a:t>$747</a:t>
            </a:fld>
            <a:endParaRPr lang="en-ID" sz="4400" b="1" kern="1200"/>
          </a:p>
        </xdr:txBody>
      </xdr:sp>
      <xdr:sp macro="" textlink="calculation!O40">
        <xdr:nvSpPr>
          <xdr:cNvPr id="32" name="TextBox 31">
            <a:extLst>
              <a:ext uri="{FF2B5EF4-FFF2-40B4-BE49-F238E27FC236}">
                <a16:creationId xmlns:a16="http://schemas.microsoft.com/office/drawing/2014/main" id="{498A8EF8-449D-8997-8F7C-B476A376D6E6}"/>
              </a:ext>
            </a:extLst>
          </xdr:cNvPr>
          <xdr:cNvSpPr txBox="1"/>
        </xdr:nvSpPr>
        <xdr:spPr>
          <a:xfrm>
            <a:off x="6324600" y="1097280"/>
            <a:ext cx="845820" cy="22098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5FF26430-EA8C-4035-833E-1B9127E4A4CA}" type="TxLink">
              <a:rPr lang="en-US" sz="1100" b="0" i="0" u="none" strike="noStrike" kern="1200">
                <a:solidFill>
                  <a:srgbClr val="000000"/>
                </a:solidFill>
                <a:latin typeface="Arial"/>
                <a:cs typeface="Arial"/>
              </a:rPr>
              <a:pPr/>
              <a:t>$747</a:t>
            </a:fld>
            <a:endParaRPr lang="en-ID" sz="1100" kern="1200"/>
          </a:p>
        </xdr:txBody>
      </xdr:sp>
      <xdr:sp macro="" textlink="calculation!P40">
        <xdr:nvSpPr>
          <xdr:cNvPr id="33" name="TextBox 32">
            <a:extLst>
              <a:ext uri="{FF2B5EF4-FFF2-40B4-BE49-F238E27FC236}">
                <a16:creationId xmlns:a16="http://schemas.microsoft.com/office/drawing/2014/main" id="{E9FED5B7-7F83-684F-6E31-87F42230AF16}"/>
              </a:ext>
            </a:extLst>
          </xdr:cNvPr>
          <xdr:cNvSpPr txBox="1"/>
        </xdr:nvSpPr>
        <xdr:spPr>
          <a:xfrm>
            <a:off x="7566656" y="1082040"/>
            <a:ext cx="1254685" cy="236220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D227F9DB-CE2C-4F6A-9C1E-E363736AE8C1}" type="TxLink">
              <a:rPr lang="en-US" sz="1100" b="0" i="0" u="none" strike="noStrike" kern="1200">
                <a:solidFill>
                  <a:srgbClr val="000000"/>
                </a:solidFill>
                <a:latin typeface="Arial"/>
                <a:cs typeface="Arial"/>
              </a:rPr>
              <a:pPr/>
              <a:t>Over Budget</a:t>
            </a:fld>
            <a:endParaRPr lang="en-ID" sz="1100" kern="1200"/>
          </a:p>
        </xdr:txBody>
      </xdr:sp>
    </xdr:grpSp>
    <xdr:clientData/>
  </xdr:twoCellAnchor>
  <xdr:twoCellAnchor>
    <xdr:from>
      <xdr:col>23</xdr:col>
      <xdr:colOff>257459</xdr:colOff>
      <xdr:row>1</xdr:row>
      <xdr:rowOff>77173</xdr:rowOff>
    </xdr:from>
    <xdr:to>
      <xdr:col>28</xdr:col>
      <xdr:colOff>329930</xdr:colOff>
      <xdr:row>8</xdr:row>
      <xdr:rowOff>92413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ED405AB2-00B1-48A4-BF8D-F3632CD60697}"/>
            </a:ext>
          </a:extLst>
        </xdr:cNvPr>
        <xdr:cNvGrpSpPr/>
      </xdr:nvGrpSpPr>
      <xdr:grpSpPr>
        <a:xfrm>
          <a:off x="9686061" y="251607"/>
          <a:ext cx="2459459" cy="1172011"/>
          <a:chOff x="6126480" y="213360"/>
          <a:chExt cx="2872740" cy="1181100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32A39480-DAB0-BC6A-C453-8A3FF39379E2}"/>
              </a:ext>
            </a:extLst>
          </xdr:cNvPr>
          <xdr:cNvSpPr/>
        </xdr:nvSpPr>
        <xdr:spPr>
          <a:xfrm>
            <a:off x="6126480" y="213360"/>
            <a:ext cx="2872740" cy="118110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D" sz="1100" kern="1200"/>
          </a:p>
        </xdr:txBody>
      </xdr: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647D9DBE-6409-1C3C-CF59-946DB6E0989D}"/>
              </a:ext>
            </a:extLst>
          </xdr:cNvPr>
          <xdr:cNvSpPr txBox="1"/>
        </xdr:nvSpPr>
        <xdr:spPr>
          <a:xfrm>
            <a:off x="6256020" y="342900"/>
            <a:ext cx="1432560" cy="31242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ID" sz="1400" b="1" kern="1200"/>
              <a:t>Cash</a:t>
            </a:r>
          </a:p>
        </xdr:txBody>
      </xdr:sp>
      <xdr:sp macro="" textlink="calculation!P36">
        <xdr:nvSpPr>
          <xdr:cNvPr id="37" name="TextBox 36">
            <a:extLst>
              <a:ext uri="{FF2B5EF4-FFF2-40B4-BE49-F238E27FC236}">
                <a16:creationId xmlns:a16="http://schemas.microsoft.com/office/drawing/2014/main" id="{CAAA04D6-2C77-A2F0-FBF7-F9CD501E0A82}"/>
              </a:ext>
            </a:extLst>
          </xdr:cNvPr>
          <xdr:cNvSpPr txBox="1"/>
        </xdr:nvSpPr>
        <xdr:spPr>
          <a:xfrm>
            <a:off x="6263640" y="640080"/>
            <a:ext cx="2613660" cy="32004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8931001D-B01D-4BCF-BE9B-F54B77CFE882}" type="TxLink">
              <a:rPr lang="en-US" sz="2000" b="1" i="0" u="none" strike="noStrike" kern="1200">
                <a:solidFill>
                  <a:srgbClr val="000000"/>
                </a:solidFill>
                <a:latin typeface="Arial"/>
                <a:cs typeface="Arial"/>
              </a:rPr>
              <a:pPr algn="ctr"/>
              <a:t>$8.869</a:t>
            </a:fld>
            <a:endParaRPr lang="en-ID" sz="4000" b="1" kern="1200"/>
          </a:p>
        </xdr:txBody>
      </xdr:sp>
      <xdr:sp macro="" textlink="calculation!O40">
        <xdr:nvSpPr>
          <xdr:cNvPr id="38" name="TextBox 37">
            <a:extLst>
              <a:ext uri="{FF2B5EF4-FFF2-40B4-BE49-F238E27FC236}">
                <a16:creationId xmlns:a16="http://schemas.microsoft.com/office/drawing/2014/main" id="{28556CE7-680E-9524-2EFF-EDE946A77FB6}"/>
              </a:ext>
            </a:extLst>
          </xdr:cNvPr>
          <xdr:cNvSpPr txBox="1"/>
        </xdr:nvSpPr>
        <xdr:spPr>
          <a:xfrm>
            <a:off x="6324600" y="1097280"/>
            <a:ext cx="845820" cy="22098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79B76880-575F-45C2-BE3E-175719A188DA}" type="TxLink">
              <a:rPr lang="en-US" sz="1100" b="0" i="0" u="none" strike="noStrike" kern="1200">
                <a:solidFill>
                  <a:srgbClr val="000000"/>
                </a:solidFill>
                <a:latin typeface="Arial"/>
                <a:cs typeface="Arial"/>
              </a:rPr>
              <a:pPr/>
              <a:t>$747</a:t>
            </a:fld>
            <a:endParaRPr lang="en-ID" sz="1100" kern="1200"/>
          </a:p>
        </xdr:txBody>
      </xdr:sp>
      <xdr:sp macro="" textlink="calculation!P40">
        <xdr:nvSpPr>
          <xdr:cNvPr id="39" name="TextBox 38">
            <a:extLst>
              <a:ext uri="{FF2B5EF4-FFF2-40B4-BE49-F238E27FC236}">
                <a16:creationId xmlns:a16="http://schemas.microsoft.com/office/drawing/2014/main" id="{1AD287DA-5EE2-7FE7-F6F2-B974ED6F4C68}"/>
              </a:ext>
            </a:extLst>
          </xdr:cNvPr>
          <xdr:cNvSpPr txBox="1"/>
        </xdr:nvSpPr>
        <xdr:spPr>
          <a:xfrm>
            <a:off x="7566656" y="1082040"/>
            <a:ext cx="1263579" cy="236220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fld id="{9C9550F1-E8E4-4233-AEDE-5E27BC1F4DC9}" type="TxLink">
              <a:rPr lang="en-US" sz="1100" b="0" i="0" u="none" strike="noStrike" kern="1200">
                <a:solidFill>
                  <a:srgbClr val="000000"/>
                </a:solidFill>
                <a:latin typeface="Arial"/>
                <a:cs typeface="Arial"/>
              </a:rPr>
              <a:pPr/>
              <a:t>Over Budget</a:t>
            </a:fld>
            <a:endParaRPr lang="en-ID" sz="1100" kern="1200"/>
          </a:p>
        </xdr:txBody>
      </xdr:sp>
    </xdr:grpSp>
    <xdr:clientData/>
  </xdr:twoCellAnchor>
  <xdr:twoCellAnchor>
    <xdr:from>
      <xdr:col>7</xdr:col>
      <xdr:colOff>587665</xdr:colOff>
      <xdr:row>25</xdr:row>
      <xdr:rowOff>1566</xdr:rowOff>
    </xdr:from>
    <xdr:to>
      <xdr:col>18</xdr:col>
      <xdr:colOff>434051</xdr:colOff>
      <xdr:row>38</xdr:row>
      <xdr:rowOff>171500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980DEDF4-44D1-4576-921F-6C870158B1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26</xdr:row>
          <xdr:rowOff>99060</xdr:rowOff>
        </xdr:from>
        <xdr:to>
          <xdr:col>5</xdr:col>
          <xdr:colOff>289560</xdr:colOff>
          <xdr:row>31</xdr:row>
          <xdr:rowOff>234</xdr:rowOff>
        </xdr:to>
        <xdr:sp macro="" textlink="">
          <xdr:nvSpPr>
            <xdr:cNvPr id="3078" name="List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243840</xdr:colOff>
          <xdr:row>31</xdr:row>
          <xdr:rowOff>175260</xdr:rowOff>
        </xdr:from>
        <xdr:to>
          <xdr:col>5</xdr:col>
          <xdr:colOff>213360</xdr:colOff>
          <xdr:row>33</xdr:row>
          <xdr:rowOff>60960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243840</xdr:colOff>
          <xdr:row>33</xdr:row>
          <xdr:rowOff>106680</xdr:rowOff>
        </xdr:from>
        <xdr:to>
          <xdr:col>5</xdr:col>
          <xdr:colOff>327660</xdr:colOff>
          <xdr:row>34</xdr:row>
          <xdr:rowOff>144780</xdr:rowOff>
        </xdr:to>
        <xdr:sp macro="" textlink="">
          <xdr:nvSpPr>
            <xdr:cNvPr id="3080" name="Option 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192908</xdr:colOff>
          <xdr:row>24</xdr:row>
          <xdr:rowOff>212715</xdr:rowOff>
        </xdr:from>
        <xdr:to>
          <xdr:col>27</xdr:col>
          <xdr:colOff>126358</xdr:colOff>
          <xdr:row>26</xdr:row>
          <xdr:rowOff>90932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81C23096-DCF7-1E69-5309-B9B07CB326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641186</xdr:colOff>
          <xdr:row>25</xdr:row>
          <xdr:rowOff>10098</xdr:rowOff>
        </xdr:from>
        <xdr:to>
          <xdr:col>28</xdr:col>
          <xdr:colOff>278078</xdr:colOff>
          <xdr:row>26</xdr:row>
          <xdr:rowOff>59313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909625A8-7CD9-1444-0065-D7BC099371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168549</xdr:colOff>
          <xdr:row>24</xdr:row>
          <xdr:rowOff>23699</xdr:rowOff>
        </xdr:from>
        <xdr:to>
          <xdr:col>28</xdr:col>
          <xdr:colOff>295461</xdr:colOff>
          <xdr:row>24</xdr:row>
          <xdr:rowOff>172735</xdr:rowOff>
        </xdr:to>
        <xdr:sp macro="" textlink="">
          <xdr:nvSpPr>
            <xdr:cNvPr id="3115" name="Scroll Bar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55CAF443-065D-4AD5-50CD-65E1699D80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20</xdr:col>
      <xdr:colOff>33676</xdr:colOff>
      <xdr:row>26</xdr:row>
      <xdr:rowOff>55395</xdr:rowOff>
    </xdr:from>
    <xdr:to>
      <xdr:col>28</xdr:col>
      <xdr:colOff>347241</xdr:colOff>
      <xdr:row>38</xdr:row>
      <xdr:rowOff>115747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2E7EE3A-D229-487F-8DBD-CF046E39AC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0.50145</cdr:x>
      <cdr:y>0.01886</cdr:y>
    </cdr:from>
    <cdr:to>
      <cdr:x>0.595</cdr:x>
      <cdr:y>0.11547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F5C4DDD7-8D93-6A9C-86B2-15A6E27C5C4E}"/>
            </a:ext>
          </a:extLst>
        </cdr:cNvPr>
        <cdr:cNvPicPr>
          <a:picLocks xmlns:a="http://schemas.openxmlformats.org/drawingml/2006/main" noChangeAspect="1"/>
        </cdr:cNvPicPr>
      </cdr:nvPicPr>
      <cdr: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50409" b="-5914"/>
        <a:stretch xmlns:a="http://schemas.openxmlformats.org/drawingml/2006/main"/>
      </cdr:blipFill>
      <cdr:spPr>
        <a:xfrm xmlns:a="http://schemas.openxmlformats.org/drawingml/2006/main">
          <a:off x="2692699" y="42462"/>
          <a:ext cx="502352" cy="217516"/>
        </a:xfrm>
        <a:prstGeom xmlns:a="http://schemas.openxmlformats.org/drawingml/2006/main" prst="rect">
          <a:avLst/>
        </a:prstGeom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427382</xdr:colOff>
      <xdr:row>14</xdr:row>
      <xdr:rowOff>60654</xdr:rowOff>
    </xdr:from>
    <xdr:to>
      <xdr:col>19</xdr:col>
      <xdr:colOff>415556</xdr:colOff>
      <xdr:row>20</xdr:row>
      <xdr:rowOff>89376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B6795E5-8922-1293-AB4B-4C078DEAAEEE}"/>
            </a:ext>
          </a:extLst>
        </xdr:cNvPr>
        <xdr:cNvSpPr/>
      </xdr:nvSpPr>
      <xdr:spPr>
        <a:xfrm>
          <a:off x="9089529" y="2581978"/>
          <a:ext cx="3618880" cy="110448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Assume:</a:t>
          </a:r>
        </a:p>
        <a:p>
          <a:pPr algn="l"/>
          <a:r>
            <a:rPr lang="en-ID" sz="1100" kern="1200"/>
            <a:t>-</a:t>
          </a:r>
          <a:r>
            <a:rPr lang="en-ID" sz="1100" kern="1200" baseline="0"/>
            <a:t> The source data is not static. It supposed to refresh and bring the new data in there if we change the Year, Month, and Division.</a:t>
          </a:r>
          <a:endParaRPr lang="en-ID" sz="1100" kern="1200"/>
        </a:p>
      </xdr:txBody>
    </xdr:sp>
    <xdr:clientData/>
  </xdr:twoCellAnchor>
  <xdr:twoCellAnchor editAs="oneCell">
    <xdr:from>
      <xdr:col>0</xdr:col>
      <xdr:colOff>26275</xdr:colOff>
      <xdr:row>0</xdr:row>
      <xdr:rowOff>96345</xdr:rowOff>
    </xdr:from>
    <xdr:to>
      <xdr:col>1</xdr:col>
      <xdr:colOff>135952</xdr:colOff>
      <xdr:row>3</xdr:row>
      <xdr:rowOff>121128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5FCAFC-EC81-4AE6-809F-67BDD4022F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8" t="18015"/>
        <a:stretch/>
      </xdr:blipFill>
      <xdr:spPr>
        <a:xfrm>
          <a:off x="26275" y="96345"/>
          <a:ext cx="790015" cy="576576"/>
        </a:xfrm>
        <a:prstGeom prst="rect">
          <a:avLst/>
        </a:prstGeom>
        <a:noFill/>
      </xdr:spPr>
    </xdr:pic>
    <xdr:clientData/>
  </xdr:twoCellAnchor>
  <xdr:twoCellAnchor>
    <xdr:from>
      <xdr:col>0</xdr:col>
      <xdr:colOff>601610</xdr:colOff>
      <xdr:row>2</xdr:row>
      <xdr:rowOff>46870</xdr:rowOff>
    </xdr:from>
    <xdr:to>
      <xdr:col>3</xdr:col>
      <xdr:colOff>288040</xdr:colOff>
      <xdr:row>6</xdr:row>
      <xdr:rowOff>33618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11373C7-5750-8F7D-F842-E2C01AC435D2}"/>
            </a:ext>
          </a:extLst>
        </xdr:cNvPr>
        <xdr:cNvSpPr/>
      </xdr:nvSpPr>
      <xdr:spPr>
        <a:xfrm>
          <a:off x="601610" y="405458"/>
          <a:ext cx="1501783" cy="70392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For POV Selection</a:t>
          </a:r>
        </a:p>
      </xdr:txBody>
    </xdr:sp>
    <xdr:clientData/>
  </xdr:twoCellAnchor>
  <xdr:twoCellAnchor>
    <xdr:from>
      <xdr:col>1</xdr:col>
      <xdr:colOff>15383</xdr:colOff>
      <xdr:row>22</xdr:row>
      <xdr:rowOff>162770</xdr:rowOff>
    </xdr:from>
    <xdr:to>
      <xdr:col>7</xdr:col>
      <xdr:colOff>257735</xdr:colOff>
      <xdr:row>32</xdr:row>
      <xdr:rowOff>59447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FB078EA-485B-91E1-2C55-C77880AF53ED}"/>
            </a:ext>
          </a:extLst>
        </xdr:cNvPr>
        <xdr:cNvSpPr/>
      </xdr:nvSpPr>
      <xdr:spPr>
        <a:xfrm>
          <a:off x="620501" y="4129652"/>
          <a:ext cx="3873058" cy="168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Bar chart</a:t>
          </a:r>
          <a:r>
            <a:rPr lang="en-ID" sz="1100" kern="1200" baseline="0"/>
            <a:t> Top / Bottom analysis</a:t>
          </a:r>
          <a:endParaRPr lang="en-ID" sz="1100" kern="1200"/>
        </a:p>
      </xdr:txBody>
    </xdr:sp>
    <xdr:clientData/>
  </xdr:twoCellAnchor>
  <xdr:twoCellAnchor>
    <xdr:from>
      <xdr:col>8</xdr:col>
      <xdr:colOff>100853</xdr:colOff>
      <xdr:row>22</xdr:row>
      <xdr:rowOff>161897</xdr:rowOff>
    </xdr:from>
    <xdr:to>
      <xdr:col>12</xdr:col>
      <xdr:colOff>1392832</xdr:colOff>
      <xdr:row>32</xdr:row>
      <xdr:rowOff>58574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336CB46-26D7-4CE9-B332-D1974D536C20}"/>
            </a:ext>
          </a:extLst>
        </xdr:cNvPr>
        <xdr:cNvSpPr/>
      </xdr:nvSpPr>
      <xdr:spPr>
        <a:xfrm>
          <a:off x="4941794" y="4128779"/>
          <a:ext cx="3712450" cy="168961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Scrolling Line chart - EBIT analysis</a:t>
          </a:r>
        </a:p>
      </xdr:txBody>
    </xdr:sp>
    <xdr:clientData/>
  </xdr:twoCellAnchor>
  <xdr:twoCellAnchor editAs="oneCell">
    <xdr:from>
      <xdr:col>8</xdr:col>
      <xdr:colOff>420559</xdr:colOff>
      <xdr:row>24</xdr:row>
      <xdr:rowOff>44823</xdr:rowOff>
    </xdr:from>
    <xdr:to>
      <xdr:col>11</xdr:col>
      <xdr:colOff>268943</xdr:colOff>
      <xdr:row>31</xdr:row>
      <xdr:rowOff>165165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74016AC-B4F7-449F-AE8C-91F7D4EDB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1500" y="4370294"/>
          <a:ext cx="1865442" cy="1375401"/>
        </a:xfrm>
        <a:prstGeom prst="rect">
          <a:avLst/>
        </a:prstGeom>
      </xdr:spPr>
    </xdr:pic>
    <xdr:clientData/>
  </xdr:twoCellAnchor>
  <xdr:twoCellAnchor editAs="oneCell">
    <xdr:from>
      <xdr:col>1</xdr:col>
      <xdr:colOff>280147</xdr:colOff>
      <xdr:row>24</xdr:row>
      <xdr:rowOff>119007</xdr:rowOff>
    </xdr:from>
    <xdr:to>
      <xdr:col>4</xdr:col>
      <xdr:colOff>443053</xdr:colOff>
      <xdr:row>32</xdr:row>
      <xdr:rowOff>60064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98A8164-B0F6-4735-9777-9D8173DA1D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4845" b="4213"/>
        <a:stretch/>
      </xdr:blipFill>
      <xdr:spPr>
        <a:xfrm>
          <a:off x="885265" y="4444478"/>
          <a:ext cx="2179965" cy="1375410"/>
        </a:xfrm>
        <a:prstGeom prst="rect">
          <a:avLst/>
        </a:prstGeom>
      </xdr:spPr>
    </xdr:pic>
    <xdr:clientData/>
  </xdr:twoCellAnchor>
  <xdr:twoCellAnchor>
    <xdr:from>
      <xdr:col>6</xdr:col>
      <xdr:colOff>392205</xdr:colOff>
      <xdr:row>2</xdr:row>
      <xdr:rowOff>67236</xdr:rowOff>
    </xdr:from>
    <xdr:to>
      <xdr:col>8</xdr:col>
      <xdr:colOff>319255</xdr:colOff>
      <xdr:row>6</xdr:row>
      <xdr:rowOff>53004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DCC2F9B-979B-4530-AF39-0A7613B6ACA7}"/>
            </a:ext>
          </a:extLst>
        </xdr:cNvPr>
        <xdr:cNvSpPr/>
      </xdr:nvSpPr>
      <xdr:spPr>
        <a:xfrm>
          <a:off x="4022911" y="425824"/>
          <a:ext cx="113728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1 Overview</a:t>
          </a:r>
          <a:endParaRPr lang="en-US" sz="1100"/>
        </a:p>
      </xdr:txBody>
    </xdr:sp>
    <xdr:clientData/>
  </xdr:twoCellAnchor>
  <xdr:twoCellAnchor>
    <xdr:from>
      <xdr:col>9</xdr:col>
      <xdr:colOff>222770</xdr:colOff>
      <xdr:row>2</xdr:row>
      <xdr:rowOff>76760</xdr:rowOff>
    </xdr:from>
    <xdr:to>
      <xdr:col>11</xdr:col>
      <xdr:colOff>248880</xdr:colOff>
      <xdr:row>6</xdr:row>
      <xdr:rowOff>62528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FB02642A-5642-4F2B-9167-D7BC6F479396}"/>
            </a:ext>
          </a:extLst>
        </xdr:cNvPr>
        <xdr:cNvSpPr/>
      </xdr:nvSpPr>
      <xdr:spPr>
        <a:xfrm>
          <a:off x="5668829" y="435348"/>
          <a:ext cx="123634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2 Overview</a:t>
          </a:r>
          <a:endParaRPr lang="en-US" sz="1100"/>
        </a:p>
      </xdr:txBody>
    </xdr:sp>
    <xdr:clientData/>
  </xdr:twoCellAnchor>
  <xdr:twoCellAnchor>
    <xdr:from>
      <xdr:col>12</xdr:col>
      <xdr:colOff>123823</xdr:colOff>
      <xdr:row>2</xdr:row>
      <xdr:rowOff>86286</xdr:rowOff>
    </xdr:from>
    <xdr:to>
      <xdr:col>12</xdr:col>
      <xdr:colOff>1375408</xdr:colOff>
      <xdr:row>6</xdr:row>
      <xdr:rowOff>72054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9FB8E64F-3AD0-4B47-902C-26CBD3D4E433}"/>
            </a:ext>
          </a:extLst>
        </xdr:cNvPr>
        <xdr:cNvSpPr/>
      </xdr:nvSpPr>
      <xdr:spPr>
        <a:xfrm>
          <a:off x="7385235" y="444874"/>
          <a:ext cx="1251585" cy="702945"/>
        </a:xfrm>
        <a:prstGeom prst="flowChartProcess">
          <a:avLst/>
        </a:prstGeom>
        <a:solidFill>
          <a:schemeClr val="dk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KPI</a:t>
          </a:r>
          <a:r>
            <a:rPr lang="en-US" sz="1100" baseline="0"/>
            <a:t> 3 Overview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6</xdr:row>
      <xdr:rowOff>38100</xdr:rowOff>
    </xdr:from>
    <xdr:to>
      <xdr:col>9</xdr:col>
      <xdr:colOff>265632</xdr:colOff>
      <xdr:row>16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F665C6-AE5A-401D-BEF0-11DB2824226D}"/>
            </a:ext>
          </a:extLst>
        </xdr:cNvPr>
        <xdr:cNvSpPr/>
      </xdr:nvSpPr>
      <xdr:spPr>
        <a:xfrm>
          <a:off x="2918460" y="1089660"/>
          <a:ext cx="4022292" cy="17907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kern="1200"/>
            <a:t>Assume:</a:t>
          </a:r>
        </a:p>
        <a:p>
          <a:pPr algn="l"/>
          <a:r>
            <a:rPr lang="en-ID" sz="1100" kern="1200"/>
            <a:t>-</a:t>
          </a:r>
          <a:r>
            <a:rPr lang="en-ID" sz="1100" kern="1200" baseline="0"/>
            <a:t> The source data is not static. It supposed to refresh and bring the new data in there if we change the Year, Month, and Division.</a:t>
          </a:r>
        </a:p>
        <a:p>
          <a:pPr algn="l"/>
          <a:r>
            <a:rPr lang="en-ID" sz="1100" kern="1200" baseline="0"/>
            <a:t>- The first three columns, "Actual" "Actual PY" and "Budget", are fetching by specific year and month.</a:t>
          </a:r>
        </a:p>
        <a:p>
          <a:pPr algn="l"/>
          <a:r>
            <a:rPr lang="en-ID" sz="1100" kern="1200" baseline="0"/>
            <a:t>- The rest of columns are historical data from current year and previous year.</a:t>
          </a:r>
        </a:p>
        <a:p>
          <a:pPr algn="l"/>
          <a:r>
            <a:rPr lang="en-ID" sz="1100" kern="1200" baseline="0"/>
            <a:t>- The fetching data is determined by user in Dashboard sheet.</a:t>
          </a:r>
          <a:endParaRPr lang="en-ID" sz="1100" kern="12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aha%20Tegar\Desktop\excel-tutorial\KPI_Dashboard_Draft01.xlsx" TargetMode="External"/><Relationship Id="rId1" Type="http://schemas.openxmlformats.org/officeDocument/2006/relationships/externalLinkPath" Target="/Users/Baha%20Tegar/Desktop/excel-tutorial/KPI_Dashboard_Draft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Calculation"/>
      <sheetName val="Data"/>
      <sheetName val="Wireframe"/>
    </sheetNames>
    <sheetDataSet>
      <sheetData sheetId="0">
        <row r="5">
          <cell r="F5">
            <v>2017</v>
          </cell>
        </row>
        <row r="6">
          <cell r="F6" t="str">
            <v>Aug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KPI-Dashboard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843A-17A3-4385-83DB-AA12F548D4F4}">
  <dimension ref="B1:AE40"/>
  <sheetViews>
    <sheetView showGridLines="0" tabSelected="1" topLeftCell="A5" zoomScale="83" zoomScaleNormal="93" workbookViewId="0">
      <selection activeCell="AD5" sqref="AD5"/>
    </sheetView>
  </sheetViews>
  <sheetFormatPr defaultColWidth="0" defaultRowHeight="13.8" zeroHeight="1" x14ac:dyDescent="0.25"/>
  <cols>
    <col min="1" max="1" width="1.69921875" customWidth="1"/>
    <col min="2" max="2" width="2" customWidth="1"/>
    <col min="3" max="3" width="2.19921875" customWidth="1"/>
    <col min="4" max="4" width="4.19921875" customWidth="1"/>
    <col min="5" max="6" width="8.796875" customWidth="1"/>
    <col min="7" max="7" width="1.796875" customWidth="1"/>
    <col min="8" max="9" width="8.796875" customWidth="1"/>
    <col min="10" max="10" width="1.796875" customWidth="1"/>
    <col min="11" max="11" width="8.796875" customWidth="1"/>
    <col min="12" max="12" width="3.09765625" customWidth="1"/>
    <col min="13" max="13" width="5.19921875" customWidth="1"/>
    <col min="14" max="14" width="8.796875" customWidth="1"/>
    <col min="15" max="15" width="1.796875" customWidth="1"/>
    <col min="16" max="17" width="8.796875" customWidth="1"/>
    <col min="18" max="18" width="1.796875" customWidth="1"/>
    <col min="19" max="19" width="8.796875" customWidth="1"/>
    <col min="20" max="20" width="3.09765625" customWidth="1"/>
    <col min="21" max="21" width="5.19921875" customWidth="1"/>
    <col min="22" max="22" width="8.796875" customWidth="1"/>
    <col min="23" max="23" width="1.796875" customWidth="1"/>
    <col min="24" max="25" width="8.796875" customWidth="1"/>
    <col min="26" max="26" width="1.796875" customWidth="1"/>
    <col min="27" max="27" width="8.796875" customWidth="1"/>
    <col min="28" max="28" width="3.09765625" customWidth="1"/>
    <col min="29" max="29" width="4.69921875" customWidth="1"/>
    <col min="30" max="30" width="4" style="70" customWidth="1"/>
    <col min="31" max="31" width="0" style="70" hidden="1"/>
    <col min="32" max="16384" width="8.796875" hidden="1"/>
  </cols>
  <sheetData>
    <row r="1" spans="2:31" x14ac:dyDescent="0.25">
      <c r="AD1"/>
      <c r="AE1"/>
    </row>
    <row r="2" spans="2:31" ht="9" customHeight="1" x14ac:dyDescent="0.25">
      <c r="AD2"/>
      <c r="AE2"/>
    </row>
    <row r="3" spans="2:31" x14ac:dyDescent="0.25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</row>
    <row r="4" spans="2:31" x14ac:dyDescent="0.25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46"/>
      <c r="Y4" s="39"/>
      <c r="Z4" s="39"/>
      <c r="AA4" s="39"/>
      <c r="AB4" s="39"/>
      <c r="AC4" s="39"/>
      <c r="AD4" s="39"/>
    </row>
    <row r="5" spans="2:31" x14ac:dyDescent="0.25">
      <c r="B5" s="39"/>
      <c r="C5" s="39"/>
      <c r="D5" s="39"/>
      <c r="E5" s="39" t="s">
        <v>92</v>
      </c>
      <c r="F5" s="56">
        <v>2017</v>
      </c>
      <c r="G5" s="39"/>
      <c r="H5" s="39"/>
      <c r="I5" s="39"/>
      <c r="J5" s="39"/>
      <c r="K5" s="39" t="s">
        <v>30</v>
      </c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</row>
    <row r="6" spans="2:31" x14ac:dyDescent="0.25">
      <c r="B6" s="39"/>
      <c r="C6" s="39"/>
      <c r="D6" s="39"/>
      <c r="E6" s="39" t="s">
        <v>93</v>
      </c>
      <c r="F6" s="56" t="s">
        <v>39</v>
      </c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</row>
    <row r="7" spans="2:31" x14ac:dyDescent="0.25">
      <c r="B7" s="39"/>
      <c r="C7" s="39"/>
      <c r="D7" s="39"/>
      <c r="E7" s="39" t="s">
        <v>94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</row>
    <row r="8" spans="2:31" x14ac:dyDescent="0.25"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</row>
    <row r="9" spans="2:31" x14ac:dyDescent="0.25"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</row>
    <row r="10" spans="2:31" x14ac:dyDescent="0.25">
      <c r="B10" s="39"/>
      <c r="C10" s="39"/>
      <c r="F10" s="47" t="s">
        <v>46</v>
      </c>
      <c r="G10" s="45"/>
      <c r="H10" s="45"/>
      <c r="I10" s="45"/>
      <c r="J10" s="45"/>
      <c r="K10" s="45"/>
      <c r="L10" s="45"/>
      <c r="N10" s="47" t="s">
        <v>47</v>
      </c>
      <c r="O10" s="45"/>
      <c r="P10" s="45"/>
      <c r="Q10" s="45"/>
      <c r="R10" s="45"/>
      <c r="S10" s="45"/>
      <c r="T10" s="45"/>
      <c r="V10" s="47" t="s">
        <v>48</v>
      </c>
      <c r="W10" s="47"/>
      <c r="X10" s="47"/>
      <c r="Y10" s="45"/>
      <c r="Z10" s="45"/>
      <c r="AA10" s="45"/>
      <c r="AB10" s="45"/>
      <c r="AD10" s="39"/>
    </row>
    <row r="11" spans="2:31" ht="14.4" x14ac:dyDescent="0.3">
      <c r="B11" s="39"/>
      <c r="C11" s="39"/>
      <c r="E11" s="48"/>
      <c r="F11" s="49" t="s">
        <v>11</v>
      </c>
      <c r="G11" s="49"/>
      <c r="H11" s="49" t="s">
        <v>112</v>
      </c>
      <c r="I11" s="49"/>
      <c r="J11" s="49"/>
      <c r="K11" s="49" t="s">
        <v>113</v>
      </c>
      <c r="L11" s="49"/>
      <c r="M11" s="49"/>
      <c r="N11" s="49" t="s">
        <v>11</v>
      </c>
      <c r="O11" s="49"/>
      <c r="P11" s="49" t="s">
        <v>112</v>
      </c>
      <c r="Q11" s="49"/>
      <c r="R11" s="49"/>
      <c r="S11" s="49" t="s">
        <v>113</v>
      </c>
      <c r="T11" s="49"/>
      <c r="U11" s="49"/>
      <c r="V11" s="49" t="s">
        <v>11</v>
      </c>
      <c r="W11" s="49"/>
      <c r="X11" s="49" t="s">
        <v>112</v>
      </c>
      <c r="Y11" s="49"/>
      <c r="Z11" s="49"/>
      <c r="AA11" s="49" t="s">
        <v>113</v>
      </c>
      <c r="AB11" s="48"/>
      <c r="AD11" s="39"/>
    </row>
    <row r="12" spans="2:31" ht="4.2" customHeight="1" x14ac:dyDescent="0.25">
      <c r="B12" s="39"/>
      <c r="C12" s="39"/>
      <c r="E12" s="48"/>
      <c r="F12" s="50"/>
      <c r="G12" s="48"/>
      <c r="H12" s="51"/>
      <c r="I12" s="51"/>
      <c r="J12" s="48"/>
      <c r="K12" s="52"/>
      <c r="L12" s="52"/>
      <c r="M12" s="48"/>
      <c r="N12" s="50"/>
      <c r="O12" s="48"/>
      <c r="P12" s="51"/>
      <c r="Q12" s="51"/>
      <c r="R12" s="48"/>
      <c r="S12" s="52"/>
      <c r="T12" s="52"/>
      <c r="U12" s="48"/>
      <c r="V12" s="50"/>
      <c r="W12" s="48"/>
      <c r="X12" s="51"/>
      <c r="Y12" s="51"/>
      <c r="Z12" s="48"/>
      <c r="AA12" s="52"/>
      <c r="AB12" s="52"/>
      <c r="AD12" s="39"/>
    </row>
    <row r="13" spans="2:31" x14ac:dyDescent="0.25">
      <c r="B13" s="39"/>
      <c r="C13" s="39"/>
      <c r="D13" s="48">
        <f>INDEX(calculation!M15:$M$34,calculation!$D$5)</f>
        <v>1</v>
      </c>
      <c r="E13" s="48" t="str">
        <f>INDEX(calculation!N15:$N$34,calculation!$D$5)</f>
        <v>Commuta</v>
      </c>
      <c r="F13" s="53">
        <f>INDEX(calculation!O15:$O$34,calculation!$D$5)</f>
        <v>6353</v>
      </c>
      <c r="G13" s="48"/>
      <c r="H13" s="54">
        <f>INDEX(calculation!X15:$X$34,calculation!$D$5)</f>
        <v>6.0070081762055728E-2</v>
      </c>
      <c r="I13" s="48">
        <f>INDEX(calculation!X15:$X$34,calculation!$D$5)</f>
        <v>6.0070081762055728E-2</v>
      </c>
      <c r="J13" s="48"/>
      <c r="K13" s="54">
        <f>INDEX(calculation!AA15:$AA$34,calculation!$D$5)</f>
        <v>0.20436018957345972</v>
      </c>
      <c r="L13" s="48" t="str">
        <f>IF(K13&lt;&gt; "",IF(K13 &gt;= 0.05,"▲",IF(K13 &lt; -0.05,"▼","")),"")</f>
        <v>▲</v>
      </c>
      <c r="M13" s="48"/>
      <c r="N13" s="53">
        <f>INDEX(calculation!P15:$P$34,calculation!$D$5)</f>
        <v>762</v>
      </c>
      <c r="O13" s="48"/>
      <c r="P13" s="55">
        <f>INDEX(calculation!Y15:$Y$34,calculation!$D$5)</f>
        <v>0.13056379821958458</v>
      </c>
      <c r="Q13" s="48">
        <f>INDEX(calculation!Y15:$Y$34,calculation!$D$5)</f>
        <v>0.13056379821958458</v>
      </c>
      <c r="R13" s="48"/>
      <c r="S13" s="54">
        <f>INDEX(calculation!$AB15:AB$34,calculation!$D$5)</f>
        <v>0.34154929577464788</v>
      </c>
      <c r="T13" s="48" t="str">
        <f>IF(S13&lt;&gt; "",IF(S13 &gt;= 0.05,"▲",IF(S13 &lt; -0.05,"▼","")),"")</f>
        <v>▲</v>
      </c>
      <c r="U13" s="48"/>
      <c r="V13" s="53">
        <f>INDEX(calculation!W15:$W$34,calculation!$D$5)</f>
        <v>7227</v>
      </c>
      <c r="W13" s="48"/>
      <c r="X13" s="55">
        <f>INDEX(calculation!Z15:$Z$34,calculation!$D$5)</f>
        <v>2.3022185014650483E-2</v>
      </c>
      <c r="Y13" s="48">
        <f>INDEX(calculation!Z15:$Z$34,calculation!$D$5)</f>
        <v>2.3022185014650483E-2</v>
      </c>
      <c r="Z13" s="48"/>
      <c r="AA13" s="54">
        <f>INDEX(calculation!AC15:$AC$34,calculation!$D$5)</f>
        <v>1.4528850145288501E-2</v>
      </c>
      <c r="AB13" s="48" t="str">
        <f>IF(AA13&lt;&gt; "",IF(AA13 &gt;= 0.05,"▲",IF(AA13 &lt; -0.05,"▼","")),"")</f>
        <v/>
      </c>
      <c r="AD13" s="39"/>
    </row>
    <row r="14" spans="2:31" x14ac:dyDescent="0.25">
      <c r="B14" s="39"/>
      <c r="C14" s="39"/>
      <c r="D14" s="59">
        <f>INDEX(calculation!M16:$M$34,calculation!$D$5)</f>
        <v>2</v>
      </c>
      <c r="E14" s="59" t="str">
        <f>INDEX(calculation!N16:$N$34,calculation!$D$5)</f>
        <v>Infic</v>
      </c>
      <c r="F14" s="60">
        <f>INDEX(calculation!O16:$O$34,calculation!$D$5)</f>
        <v>12373</v>
      </c>
      <c r="G14" s="59"/>
      <c r="H14" s="61">
        <f>INDEX(calculation!X16:$X$34,calculation!$D$5)</f>
        <v>-2.0164542668172285E-3</v>
      </c>
      <c r="I14" s="59">
        <f>INDEX(calculation!X16:$X$34,calculation!$D$5)</f>
        <v>-2.0164542668172285E-3</v>
      </c>
      <c r="J14" s="59"/>
      <c r="K14" s="61">
        <f>INDEX(calculation!AA16:$AA$34,calculation!$D$5)</f>
        <v>0.18153170359052712</v>
      </c>
      <c r="L14" s="59" t="str">
        <f t="shared" ref="L14:L22" si="0">IF(K14&lt;&gt; "",IF(K14 &gt;= 0.05,"▲",IF(K14 &lt; -0.05,"▼","")),"")</f>
        <v>▲</v>
      </c>
      <c r="M14" s="59"/>
      <c r="N14" s="60">
        <f>INDEX(calculation!P16:$P$34,calculation!$D$5)</f>
        <v>408</v>
      </c>
      <c r="O14" s="59"/>
      <c r="P14" s="62">
        <f>INDEX(calculation!Y16:$Y$34,calculation!$D$5)</f>
        <v>0.19648093841642228</v>
      </c>
      <c r="Q14" s="59">
        <f>INDEX(calculation!Y16:$Y$34,calculation!$D$5)</f>
        <v>0.19648093841642228</v>
      </c>
      <c r="R14" s="59"/>
      <c r="S14" s="61">
        <f>INDEX(calculation!$AB16:AB$34,calculation!$D$5)</f>
        <v>-0.11496746203904555</v>
      </c>
      <c r="T14" s="59" t="str">
        <f t="shared" ref="T14:T22" si="1">IF(S14&lt;&gt; "",IF(S14 &gt;= 0.05,"▲",IF(S14 &lt; -0.05,"▼","")),"")</f>
        <v>▼</v>
      </c>
      <c r="U14" s="59"/>
      <c r="V14" s="60">
        <f>INDEX(calculation!W16:$W$34,calculation!$D$5)</f>
        <v>2910</v>
      </c>
      <c r="W14" s="59"/>
      <c r="X14" s="62">
        <f>INDEX(calculation!Z16:$Z$34,calculation!$D$5)</f>
        <v>6.923837784371909E-3</v>
      </c>
      <c r="Y14" s="59">
        <f>INDEX(calculation!Z16:$Z$34,calculation!$D$5)</f>
        <v>6.923837784371909E-3</v>
      </c>
      <c r="Z14" s="59"/>
      <c r="AA14" s="61">
        <f>INDEX(calculation!AC16:$AC$34,calculation!$D$5)</f>
        <v>4.9484536082474224E-2</v>
      </c>
      <c r="AB14" s="59" t="str">
        <f t="shared" ref="AB14:AB22" si="2">IF(AA14&lt;&gt; "",IF(AA14 &gt;= 0.05,"▲",IF(AA14 &lt; -0.05,"▼","")),"")</f>
        <v/>
      </c>
      <c r="AC14" s="63"/>
      <c r="AD14" s="39"/>
    </row>
    <row r="15" spans="2:31" x14ac:dyDescent="0.25">
      <c r="B15" s="39"/>
      <c r="C15" s="39"/>
      <c r="D15" s="48">
        <f>INDEX(calculation!M17:$M$34,calculation!$D$5)</f>
        <v>3</v>
      </c>
      <c r="E15" s="48" t="str">
        <f>INDEX(calculation!N17:$N$34,calculation!$D$5)</f>
        <v>Accord</v>
      </c>
      <c r="F15" s="53">
        <f>INDEX(calculation!O17:$O$34,calculation!$D$5)</f>
        <v>17760</v>
      </c>
      <c r="G15" s="48"/>
      <c r="H15" s="54">
        <f>INDEX(calculation!X17:$X$34,calculation!$D$5)</f>
        <v>4.3171806167400878E-2</v>
      </c>
      <c r="I15" s="48">
        <f>INDEX(calculation!X17:$X$34,calculation!$D$5)</f>
        <v>4.3171806167400878E-2</v>
      </c>
      <c r="J15" s="48"/>
      <c r="K15" s="54">
        <f>INDEX(calculation!AA17:$AA$34,calculation!$D$5)</f>
        <v>5.3755784976860094E-2</v>
      </c>
      <c r="L15" s="48" t="str">
        <f t="shared" si="0"/>
        <v>▲</v>
      </c>
      <c r="M15" s="48"/>
      <c r="N15" s="53">
        <f>INDEX(calculation!P17:$P$34,calculation!$D$5)</f>
        <v>800</v>
      </c>
      <c r="O15" s="53"/>
      <c r="P15" s="55">
        <f>INDEX(calculation!Y17:$Y$34,calculation!$D$5)</f>
        <v>0.40845070422535212</v>
      </c>
      <c r="Q15" s="48">
        <f>INDEX(calculation!Y17:$Y$34,calculation!$D$5)</f>
        <v>0.40845070422535212</v>
      </c>
      <c r="R15" s="48"/>
      <c r="S15" s="54">
        <f>INDEX(calculation!$AB17:AB$34,calculation!$D$5)</f>
        <v>0.39860139860139859</v>
      </c>
      <c r="T15" s="48" t="str">
        <f t="shared" si="1"/>
        <v>▲</v>
      </c>
      <c r="U15" s="48"/>
      <c r="V15" s="53">
        <f>INDEX(calculation!W17:$W$34,calculation!$D$5)</f>
        <v>6611</v>
      </c>
      <c r="W15" s="48"/>
      <c r="X15" s="55">
        <f>INDEX(calculation!Z17:$Z$34,calculation!$D$5)</f>
        <v>-0.13134288392020352</v>
      </c>
      <c r="Y15" s="48">
        <f>INDEX(calculation!Z17:$Z$34,calculation!$D$5)</f>
        <v>-0.13134288392020352</v>
      </c>
      <c r="Z15" s="48"/>
      <c r="AA15" s="54">
        <f>INDEX(calculation!AC17:$AC$34,calculation!$D$5)</f>
        <v>-1.8605354711843897E-2</v>
      </c>
      <c r="AB15" s="48" t="str">
        <f t="shared" si="2"/>
        <v/>
      </c>
      <c r="AD15" s="39"/>
    </row>
    <row r="16" spans="2:31" x14ac:dyDescent="0.25">
      <c r="B16" s="39"/>
      <c r="C16" s="39"/>
      <c r="D16" s="59">
        <f>INDEX(calculation!M18:$M$34,calculation!$D$5)</f>
        <v>4</v>
      </c>
      <c r="E16" s="59" t="str">
        <f>INDEX(calculation!N18:$N$34,calculation!$D$5)</f>
        <v>Misty Wash</v>
      </c>
      <c r="F16" s="60">
        <f>INDEX(calculation!O18:$O$34,calculation!$D$5)</f>
        <v>30399.599999999999</v>
      </c>
      <c r="G16" s="59"/>
      <c r="H16" s="61">
        <f>INDEX(calculation!X18:$X$34,calculation!$D$5)</f>
        <v>2.9392244240068269E-2</v>
      </c>
      <c r="I16" s="59">
        <f>INDEX(calculation!X18:$X$34,calculation!$D$5)</f>
        <v>2.9392244240068269E-2</v>
      </c>
      <c r="J16" s="59"/>
      <c r="K16" s="61">
        <f>INDEX(calculation!AA18:$AA$34,calculation!$D$5)</f>
        <v>5.3708676729327274E-3</v>
      </c>
      <c r="L16" s="59" t="str">
        <f t="shared" si="0"/>
        <v/>
      </c>
      <c r="M16" s="59"/>
      <c r="N16" s="60">
        <f>INDEX(calculation!P18:$P$34,calculation!$D$5)</f>
        <v>786.8</v>
      </c>
      <c r="O16" s="59"/>
      <c r="P16" s="62">
        <f>INDEX(calculation!Y18:$Y$34,calculation!$D$5)</f>
        <v>0</v>
      </c>
      <c r="Q16" s="59">
        <f>INDEX(calculation!Y18:$Y$34,calculation!$D$5)</f>
        <v>0</v>
      </c>
      <c r="R16" s="59"/>
      <c r="S16" s="61">
        <f>INDEX(calculation!$AB18:AB$34,calculation!$D$5)</f>
        <v>-0.15615615615615619</v>
      </c>
      <c r="T16" s="59" t="str">
        <f t="shared" si="1"/>
        <v>▼</v>
      </c>
      <c r="U16" s="59"/>
      <c r="V16" s="60">
        <f>INDEX(calculation!W18:$W$34,calculation!$D$5)</f>
        <v>13381.199999999999</v>
      </c>
      <c r="W16" s="59"/>
      <c r="X16" s="62">
        <f>INDEX(calculation!Z18:$Z$34,calculation!$D$5)</f>
        <v>-0.11709178549909618</v>
      </c>
      <c r="Y16" s="59">
        <f>INDEX(calculation!Z18:$Z$34,calculation!$D$5)</f>
        <v>-0.11709178549909618</v>
      </c>
      <c r="Z16" s="59"/>
      <c r="AA16" s="61">
        <f>INDEX(calculation!AC18:$AC$34,calculation!$D$5)</f>
        <v>-8.014228918183719E-2</v>
      </c>
      <c r="AB16" s="59" t="str">
        <f t="shared" si="2"/>
        <v>▼</v>
      </c>
      <c r="AC16" s="63"/>
      <c r="AD16" s="39"/>
    </row>
    <row r="17" spans="2:30" x14ac:dyDescent="0.25">
      <c r="B17" s="39"/>
      <c r="C17" s="39"/>
      <c r="D17" s="48">
        <f>INDEX(calculation!M19:$M$34,calculation!$D$5)</f>
        <v>5</v>
      </c>
      <c r="E17" s="48" t="str">
        <f>INDEX(calculation!N19:$N$34,calculation!$D$5)</f>
        <v>Twenty20</v>
      </c>
      <c r="F17" s="53">
        <f>INDEX(calculation!O19:$O$34,calculation!$D$5)</f>
        <v>20400</v>
      </c>
      <c r="G17" s="48"/>
      <c r="H17" s="54">
        <f>INDEX(calculation!X19:$X$34,calculation!$D$5)</f>
        <v>-8.2073434125269976E-2</v>
      </c>
      <c r="I17" s="48">
        <f>INDEX(calculation!X19:$X$34,calculation!$D$5)</f>
        <v>-8.2073434125269976E-2</v>
      </c>
      <c r="J17" s="48"/>
      <c r="K17" s="54">
        <f>INDEX(calculation!AA19:$AA$34,calculation!$D$5)</f>
        <v>0.10408728784205061</v>
      </c>
      <c r="L17" s="48" t="str">
        <f t="shared" si="0"/>
        <v>▲</v>
      </c>
      <c r="M17" s="48"/>
      <c r="N17" s="53">
        <f>INDEX(calculation!P19:$P$34,calculation!$D$5)</f>
        <v>614.40000000000009</v>
      </c>
      <c r="O17" s="48"/>
      <c r="P17" s="55">
        <f>INDEX(calculation!Y19:$Y$34,calculation!$D$5)</f>
        <v>-0.37864077669902907</v>
      </c>
      <c r="Q17" s="48">
        <f>INDEX(calculation!Y19:$Y$34,calculation!$D$5)</f>
        <v>-0.37864077669902907</v>
      </c>
      <c r="R17" s="48"/>
      <c r="S17" s="54">
        <f>INDEX(calculation!$AB19:AB$34,calculation!$D$5)</f>
        <v>-0.45142857142857135</v>
      </c>
      <c r="T17" s="48" t="str">
        <f t="shared" si="1"/>
        <v>▼</v>
      </c>
      <c r="U17" s="48"/>
      <c r="V17" s="53">
        <f>INDEX(calculation!W19:$W$34,calculation!$D$5)</f>
        <v>14230.400000000001</v>
      </c>
      <c r="W17" s="48"/>
      <c r="X17" s="55">
        <f>INDEX(calculation!Z19:$Z$34,calculation!$D$5)</f>
        <v>-5.2936476228525764E-2</v>
      </c>
      <c r="Y17" s="48">
        <f>INDEX(calculation!Z19:$Z$34,calculation!$D$5)</f>
        <v>-5.2936476228525764E-2</v>
      </c>
      <c r="Z17" s="48"/>
      <c r="AA17" s="54">
        <f>INDEX(calculation!AC19:$AC$34,calculation!$D$5)</f>
        <v>6.6111985608275178E-2</v>
      </c>
      <c r="AB17" s="48" t="str">
        <f t="shared" si="2"/>
        <v>▲</v>
      </c>
      <c r="AD17" s="39"/>
    </row>
    <row r="18" spans="2:30" x14ac:dyDescent="0.25">
      <c r="B18" s="39"/>
      <c r="C18" s="39"/>
      <c r="D18" s="59">
        <f>INDEX(calculation!M20:$M$34,calculation!$D$5)</f>
        <v>6</v>
      </c>
      <c r="E18" s="59" t="str">
        <f>INDEX(calculation!N20:$N$34,calculation!$D$5)</f>
        <v>Tanox</v>
      </c>
      <c r="F18" s="60">
        <f>INDEX(calculation!O20:$O$34,calculation!$D$5)</f>
        <v>21088</v>
      </c>
      <c r="G18" s="59"/>
      <c r="H18" s="61">
        <f>INDEX(calculation!X20:$X$34,calculation!$D$5)</f>
        <v>6.8504256181597084E-2</v>
      </c>
      <c r="I18" s="59">
        <f>INDEX(calculation!X20:$X$34,calculation!$D$5)</f>
        <v>6.8504256181597084E-2</v>
      </c>
      <c r="J18" s="59"/>
      <c r="K18" s="61">
        <f>INDEX(calculation!AA20:$AA$34,calculation!$D$5)</f>
        <v>0.10085612862810607</v>
      </c>
      <c r="L18" s="59" t="str">
        <f t="shared" si="0"/>
        <v>▲</v>
      </c>
      <c r="M18" s="59"/>
      <c r="N18" s="60">
        <f>INDEX(calculation!P20:$P$34,calculation!$D$5)</f>
        <v>1264</v>
      </c>
      <c r="O18" s="59"/>
      <c r="P18" s="62">
        <f>INDEX(calculation!Y20:$Y$34,calculation!$D$5)</f>
        <v>0.35622317596566522</v>
      </c>
      <c r="Q18" s="59">
        <f>INDEX(calculation!Y20:$Y$34,calculation!$D$5)</f>
        <v>0.35622317596566522</v>
      </c>
      <c r="R18" s="59"/>
      <c r="S18" s="61">
        <f>INDEX(calculation!$AB20:AB$34,calculation!$D$5)</f>
        <v>0.4697674418604651</v>
      </c>
      <c r="T18" s="59" t="str">
        <f t="shared" si="1"/>
        <v>▲</v>
      </c>
      <c r="U18" s="59"/>
      <c r="V18" s="60">
        <f>INDEX(calculation!W20:$W$34,calculation!$D$5)</f>
        <v>7744</v>
      </c>
      <c r="W18" s="59"/>
      <c r="X18" s="62">
        <f>INDEX(calculation!Z20:$Z$34,calculation!$D$5)</f>
        <v>-0.18720538720538721</v>
      </c>
      <c r="Y18" s="59">
        <f>INDEX(calculation!Z20:$Z$34,calculation!$D$5)</f>
        <v>-0.18720538720538721</v>
      </c>
      <c r="Z18" s="59"/>
      <c r="AA18" s="61">
        <f>INDEX(calculation!AC20:$AC$34,calculation!$D$5)</f>
        <v>-0.37654958677685951</v>
      </c>
      <c r="AB18" s="59" t="str">
        <f t="shared" si="2"/>
        <v>▼</v>
      </c>
      <c r="AC18" s="63"/>
      <c r="AD18" s="39"/>
    </row>
    <row r="19" spans="2:30" x14ac:dyDescent="0.25">
      <c r="B19" s="39"/>
      <c r="C19" s="39"/>
      <c r="D19" s="48">
        <f>INDEX(calculation!M21:$M$34,calculation!$D$5)</f>
        <v>7</v>
      </c>
      <c r="E19" s="48" t="str">
        <f>INDEX(calculation!N21:$N$34,calculation!$D$5)</f>
        <v>Minor Liar</v>
      </c>
      <c r="F19" s="53">
        <f>INDEX(calculation!O21:$O$34,calculation!$D$5)</f>
        <v>23736.9</v>
      </c>
      <c r="G19" s="48"/>
      <c r="H19" s="54">
        <f>INDEX(calculation!X21:$X$34,calculation!$D$5)</f>
        <v>4.3169293241806017E-2</v>
      </c>
      <c r="I19" s="48">
        <f>INDEX(calculation!X21:$X$34,calculation!$D$5)</f>
        <v>4.3169293241806017E-2</v>
      </c>
      <c r="J19" s="48"/>
      <c r="K19" s="54">
        <f>INDEX(calculation!AA21:$AA$34,calculation!$D$5)</f>
        <v>5.3765016114854895E-2</v>
      </c>
      <c r="L19" s="48" t="str">
        <f t="shared" si="0"/>
        <v>▲</v>
      </c>
      <c r="M19" s="48"/>
      <c r="N19" s="53">
        <f>INDEX(calculation!P21:$P$34,calculation!$D$5)</f>
        <v>1012.0000000000001</v>
      </c>
      <c r="O19" s="48"/>
      <c r="P19" s="55">
        <f>INDEX(calculation!Y21:$Y$34,calculation!$D$5)</f>
        <v>0.40888208269525272</v>
      </c>
      <c r="Q19" s="48">
        <f>INDEX(calculation!Y21:$Y$34,calculation!$D$5)</f>
        <v>0.40888208269525272</v>
      </c>
      <c r="R19" s="48"/>
      <c r="S19" s="54">
        <f>INDEX(calculation!$AB21:AB$34,calculation!$D$5)</f>
        <v>0.3981762917933131</v>
      </c>
      <c r="T19" s="48" t="str">
        <f t="shared" si="1"/>
        <v>▲</v>
      </c>
      <c r="U19" s="48"/>
      <c r="V19" s="53">
        <f>INDEX(calculation!W21:$W$34,calculation!$D$5)</f>
        <v>8362.2000000000007</v>
      </c>
      <c r="W19" s="48"/>
      <c r="X19" s="55">
        <f>INDEX(calculation!Z21:$Z$34,calculation!$D$5)</f>
        <v>-0.13133077191756909</v>
      </c>
      <c r="Y19" s="48">
        <f>INDEX(calculation!Z21:$Z$34,calculation!$D$5)</f>
        <v>-0.13133077191756909</v>
      </c>
      <c r="Z19" s="48"/>
      <c r="AA19" s="54">
        <f>INDEX(calculation!AC21:$AC$34,calculation!$D$5)</f>
        <v>-1.8547750591949529E-2</v>
      </c>
      <c r="AB19" s="48" t="str">
        <f t="shared" si="2"/>
        <v/>
      </c>
      <c r="AD19" s="39"/>
    </row>
    <row r="20" spans="2:30" x14ac:dyDescent="0.25">
      <c r="B20" s="39"/>
      <c r="C20" s="39"/>
      <c r="D20" s="59">
        <f>INDEX(calculation!M22:$M$34,calculation!$D$5)</f>
        <v>8</v>
      </c>
      <c r="E20" s="59" t="str">
        <f>INDEX(calculation!N22:$N$34,calculation!$D$5)</f>
        <v>Mosquit</v>
      </c>
      <c r="F20" s="60">
        <f>INDEX(calculation!O22:$O$34,calculation!$D$5)</f>
        <v>6302</v>
      </c>
      <c r="G20" s="59"/>
      <c r="H20" s="61">
        <f>INDEX(calculation!X22:$X$34,calculation!$D$5)</f>
        <v>0.16703703703703704</v>
      </c>
      <c r="I20" s="59">
        <f>INDEX(calculation!X22:$X$34,calculation!$D$5)</f>
        <v>0.16703703703703704</v>
      </c>
      <c r="J20" s="59"/>
      <c r="K20" s="61">
        <f>INDEX(calculation!AA22:$AA$34,calculation!$D$5)</f>
        <v>0.19062913281692803</v>
      </c>
      <c r="L20" s="59" t="str">
        <f t="shared" si="0"/>
        <v>▲</v>
      </c>
      <c r="M20" s="59"/>
      <c r="N20" s="60">
        <f>INDEX(calculation!P22:$P$34,calculation!$D$5)</f>
        <v>240</v>
      </c>
      <c r="O20" s="59"/>
      <c r="P20" s="62">
        <f>INDEX(calculation!Y22:$Y$34,calculation!$D$5)</f>
        <v>0.26315789473684209</v>
      </c>
      <c r="Q20" s="59">
        <f>INDEX(calculation!Y22:$Y$34,calculation!$D$5)</f>
        <v>0.26315789473684209</v>
      </c>
      <c r="R20" s="59"/>
      <c r="S20" s="61">
        <f>INDEX(calculation!$AB22:AB$34,calculation!$D$5)</f>
        <v>0.53846153846153844</v>
      </c>
      <c r="T20" s="59" t="str">
        <f t="shared" si="1"/>
        <v>▲</v>
      </c>
      <c r="U20" s="59"/>
      <c r="V20" s="60">
        <f>INDEX(calculation!W22:$W$34,calculation!$D$5)</f>
        <v>4514</v>
      </c>
      <c r="W20" s="59"/>
      <c r="X20" s="62">
        <f>INDEX(calculation!Z22:$Z$34,calculation!$D$5)</f>
        <v>0.136474609375</v>
      </c>
      <c r="Y20" s="59">
        <f>INDEX(calculation!Z22:$Z$34,calculation!$D$5)</f>
        <v>0.136474609375</v>
      </c>
      <c r="Z20" s="59"/>
      <c r="AA20" s="61">
        <f>INDEX(calculation!AC22:$AC$34,calculation!$D$5)</f>
        <v>3.1236154186973859E-2</v>
      </c>
      <c r="AB20" s="59" t="str">
        <f t="shared" si="2"/>
        <v/>
      </c>
      <c r="AC20" s="63"/>
      <c r="AD20" s="39"/>
    </row>
    <row r="21" spans="2:30" x14ac:dyDescent="0.25">
      <c r="B21" s="39"/>
      <c r="C21" s="39"/>
      <c r="D21" s="48">
        <f>INDEX(calculation!M23:$M$34,calculation!$D$5)</f>
        <v>9</v>
      </c>
      <c r="E21" s="48" t="str">
        <f>INDEX(calculation!N23:$N$34,calculation!$D$5)</f>
        <v>Atmos</v>
      </c>
      <c r="F21" s="53">
        <f>INDEX(calculation!O23:$O$34,calculation!$D$5)</f>
        <v>10675</v>
      </c>
      <c r="G21" s="48"/>
      <c r="H21" s="54">
        <f>INDEX(calculation!X23:$X$34,calculation!$D$5)</f>
        <v>5.34886015987368E-2</v>
      </c>
      <c r="I21" s="48">
        <f>INDEX(calculation!X23:$X$34,calculation!$D$5)</f>
        <v>5.34886015987368E-2</v>
      </c>
      <c r="J21" s="48"/>
      <c r="K21" s="54">
        <f>INDEX(calculation!AA23:$AA$34,calculation!$D$5)</f>
        <v>-4.4999105385578816E-2</v>
      </c>
      <c r="L21" s="48" t="str">
        <f t="shared" si="0"/>
        <v/>
      </c>
      <c r="M21" s="48"/>
      <c r="N21" s="53">
        <f>INDEX(calculation!P23:$P$34,calculation!$D$5)</f>
        <v>128</v>
      </c>
      <c r="O21" s="48"/>
      <c r="P21" s="55">
        <f>INDEX(calculation!Y23:$Y$34,calculation!$D$5)</f>
        <v>0.43820224719101125</v>
      </c>
      <c r="Q21" s="48">
        <f>INDEX(calculation!Y23:$Y$34,calculation!$D$5)</f>
        <v>0.43820224719101125</v>
      </c>
      <c r="R21" s="48"/>
      <c r="S21" s="54">
        <f>INDEX(calculation!$AB23:AB$34,calculation!$D$5)</f>
        <v>-0.32631578947368423</v>
      </c>
      <c r="T21" s="48" t="str">
        <f t="shared" si="1"/>
        <v>▼</v>
      </c>
      <c r="U21" s="48"/>
      <c r="V21" s="53">
        <f>INDEX(calculation!W23:$W$34,calculation!$D$5)</f>
        <v>8010</v>
      </c>
      <c r="W21" s="48"/>
      <c r="X21" s="55">
        <f>INDEX(calculation!Z23:$Z$34,calculation!$D$5)</f>
        <v>3.7901944002934345E-3</v>
      </c>
      <c r="Y21" s="48">
        <f>INDEX(calculation!Z23:$Z$34,calculation!$D$5)</f>
        <v>3.7901944002934345E-3</v>
      </c>
      <c r="Z21" s="48"/>
      <c r="AA21" s="54">
        <f>INDEX(calculation!AC23:$AC$34,calculation!$D$5)</f>
        <v>2.4968789013732832E-2</v>
      </c>
      <c r="AB21" s="48" t="str">
        <f t="shared" si="2"/>
        <v/>
      </c>
      <c r="AD21" s="39"/>
    </row>
    <row r="22" spans="2:30" x14ac:dyDescent="0.25">
      <c r="B22" s="39"/>
      <c r="C22" s="39"/>
      <c r="D22" s="59">
        <f>INDEX(calculation!M24:$M$34,calculation!$D$5)</f>
        <v>10</v>
      </c>
      <c r="E22" s="59" t="str">
        <f>INDEX(calculation!N24:$N$34,calculation!$D$5)</f>
        <v>Scrap</v>
      </c>
      <c r="F22" s="60">
        <f>INDEX(calculation!O24:$O$34,calculation!$D$5)</f>
        <v>13307</v>
      </c>
      <c r="G22" s="59"/>
      <c r="H22" s="61">
        <f>INDEX(calculation!X24:$X$34,calculation!$D$5)</f>
        <v>9.730353756081471E-2</v>
      </c>
      <c r="I22" s="59">
        <f>INDEX(calculation!X24:$X$34,calculation!$D$5)</f>
        <v>9.730353756081471E-2</v>
      </c>
      <c r="J22" s="59"/>
      <c r="K22" s="61">
        <f>INDEX(calculation!AA24:$AA$34,calculation!$D$5)</f>
        <v>-1.0484830458060678E-2</v>
      </c>
      <c r="L22" s="59" t="str">
        <f t="shared" si="0"/>
        <v/>
      </c>
      <c r="M22" s="59"/>
      <c r="N22" s="60">
        <f>INDEX(calculation!P24:$P$34,calculation!$D$5)</f>
        <v>862</v>
      </c>
      <c r="O22" s="59"/>
      <c r="P22" s="62">
        <f>INDEX(calculation!Y24:$Y$34,calculation!$D$5)</f>
        <v>0.16172506738544473</v>
      </c>
      <c r="Q22" s="59">
        <f>INDEX(calculation!Y24:$Y$34,calculation!$D$5)</f>
        <v>0.16172506738544473</v>
      </c>
      <c r="R22" s="59"/>
      <c r="S22" s="61">
        <f>INDEX(calculation!$AB24:AB$34,calculation!$D$5)</f>
        <v>-4.7513812154696133E-2</v>
      </c>
      <c r="T22" s="59" t="str">
        <f t="shared" si="1"/>
        <v/>
      </c>
      <c r="U22" s="59"/>
      <c r="V22" s="60">
        <f>INDEX(calculation!W24:$W$34,calculation!$D$5)</f>
        <v>6062</v>
      </c>
      <c r="W22" s="59"/>
      <c r="X22" s="62">
        <f>INDEX(calculation!Z24:$Z$34,calculation!$D$5)</f>
        <v>-3.8608632307412127E-2</v>
      </c>
      <c r="Y22" s="59">
        <f>INDEX(calculation!Z24:$Z$34,calculation!$D$5)</f>
        <v>-3.8608632307412127E-2</v>
      </c>
      <c r="Z22" s="59"/>
      <c r="AA22" s="61">
        <f>INDEX(calculation!AC24:$AC$34,calculation!$D$5)</f>
        <v>-0.12916529198284393</v>
      </c>
      <c r="AB22" s="59" t="str">
        <f t="shared" si="2"/>
        <v>▼</v>
      </c>
      <c r="AC22" s="63"/>
      <c r="AD22" s="39"/>
    </row>
    <row r="23" spans="2:30" x14ac:dyDescent="0.25">
      <c r="B23" s="39"/>
      <c r="C23" s="39"/>
      <c r="AD23" s="39"/>
    </row>
    <row r="24" spans="2:30" x14ac:dyDescent="0.25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</row>
    <row r="25" spans="2:30" ht="17.399999999999999" x14ac:dyDescent="0.3">
      <c r="B25" s="39"/>
      <c r="C25" s="39"/>
      <c r="D25" s="64" t="str">
        <f>"Actual "&amp;INDEX(calculation!$D$15:$D$17,calculation!$D$6)&amp;" Vs. Budget"</f>
        <v>Actual Profit Vs. Budget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39"/>
      <c r="U25" s="64" t="str">
        <f>"Profit for Kind "&amp;calculation!AR12</f>
        <v xml:space="preserve">Profit for Kind </v>
      </c>
      <c r="V25" s="10"/>
      <c r="W25" s="10"/>
      <c r="X25" s="10"/>
      <c r="Y25" s="10"/>
      <c r="Z25" s="64"/>
      <c r="AA25" s="10"/>
      <c r="AB25" s="10"/>
      <c r="AC25" s="10"/>
      <c r="AD25" s="39"/>
    </row>
    <row r="26" spans="2:30" x14ac:dyDescent="0.25">
      <c r="B26" s="39"/>
      <c r="C26" s="39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39"/>
      <c r="U26" s="41"/>
      <c r="V26" s="41"/>
      <c r="W26" s="41"/>
      <c r="X26" s="41"/>
      <c r="Y26" s="41"/>
      <c r="Z26" s="41"/>
      <c r="AA26" s="41"/>
      <c r="AB26" s="41"/>
      <c r="AC26" s="41"/>
      <c r="AD26" s="39"/>
    </row>
    <row r="27" spans="2:30" x14ac:dyDescent="0.25">
      <c r="B27" s="39"/>
      <c r="C27" s="39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39"/>
      <c r="U27" s="41"/>
      <c r="V27" s="41"/>
      <c r="W27" s="41"/>
      <c r="X27" s="41"/>
      <c r="Y27" s="41"/>
      <c r="Z27" s="41"/>
      <c r="AA27" s="41"/>
      <c r="AB27" s="41"/>
      <c r="AC27" s="41"/>
      <c r="AD27" s="39"/>
    </row>
    <row r="28" spans="2:30" x14ac:dyDescent="0.25">
      <c r="B28" s="39"/>
      <c r="C28" s="39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39"/>
      <c r="U28" s="41"/>
      <c r="V28" s="41"/>
      <c r="W28" s="41"/>
      <c r="X28" s="41"/>
      <c r="Y28" s="41"/>
      <c r="Z28" s="41"/>
      <c r="AA28" s="41"/>
      <c r="AB28" s="41"/>
      <c r="AC28" s="41"/>
      <c r="AD28" s="39"/>
    </row>
    <row r="29" spans="2:30" x14ac:dyDescent="0.25">
      <c r="B29" s="39"/>
      <c r="C29" s="39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39"/>
      <c r="U29" s="41"/>
      <c r="V29" s="41"/>
      <c r="W29" s="41"/>
      <c r="X29" s="41"/>
      <c r="Y29" s="41"/>
      <c r="Z29" s="41"/>
      <c r="AA29" s="41"/>
      <c r="AB29" s="41"/>
      <c r="AC29" s="41"/>
      <c r="AD29" s="39"/>
    </row>
    <row r="30" spans="2:30" x14ac:dyDescent="0.25">
      <c r="B30" s="39"/>
      <c r="C30" s="39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39"/>
      <c r="U30" s="41"/>
      <c r="V30" s="41"/>
      <c r="W30" s="41"/>
      <c r="X30" s="41"/>
      <c r="Y30" s="41"/>
      <c r="Z30" s="41"/>
      <c r="AA30" s="41"/>
      <c r="AB30" s="41"/>
      <c r="AC30" s="41"/>
      <c r="AD30" s="39"/>
    </row>
    <row r="31" spans="2:30" x14ac:dyDescent="0.25">
      <c r="B31" s="39"/>
      <c r="C31" s="39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39"/>
      <c r="U31" s="41"/>
      <c r="V31" s="41"/>
      <c r="W31" s="41"/>
      <c r="X31" s="41"/>
      <c r="Y31" s="41"/>
      <c r="Z31" s="41"/>
      <c r="AA31" s="41"/>
      <c r="AB31" s="41"/>
      <c r="AC31" s="41"/>
      <c r="AD31" s="39"/>
    </row>
    <row r="32" spans="2:30" x14ac:dyDescent="0.25">
      <c r="B32" s="39"/>
      <c r="C32" s="39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39"/>
      <c r="U32" s="41"/>
      <c r="V32" s="41"/>
      <c r="W32" s="41"/>
      <c r="X32" s="41"/>
      <c r="Y32" s="41"/>
      <c r="Z32" s="41"/>
      <c r="AA32" s="41"/>
      <c r="AB32" s="41"/>
      <c r="AC32" s="41"/>
      <c r="AD32" s="39"/>
    </row>
    <row r="33" spans="2:30" x14ac:dyDescent="0.25">
      <c r="B33" s="39"/>
      <c r="C33" s="39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39"/>
      <c r="U33" s="41"/>
      <c r="V33" s="41"/>
      <c r="W33" s="41"/>
      <c r="X33" s="41"/>
      <c r="Y33" s="41"/>
      <c r="Z33" s="41"/>
      <c r="AA33" s="41"/>
      <c r="AB33" s="41"/>
      <c r="AC33" s="41"/>
      <c r="AD33" s="39"/>
    </row>
    <row r="34" spans="2:30" x14ac:dyDescent="0.25">
      <c r="B34" s="39"/>
      <c r="C34" s="39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39"/>
      <c r="U34" s="41"/>
      <c r="V34" s="41"/>
      <c r="W34" s="41"/>
      <c r="X34" s="41"/>
      <c r="Y34" s="41"/>
      <c r="Z34" s="41"/>
      <c r="AA34" s="41"/>
      <c r="AB34" s="41"/>
      <c r="AC34" s="41"/>
      <c r="AD34" s="39"/>
    </row>
    <row r="35" spans="2:30" x14ac:dyDescent="0.25">
      <c r="B35" s="39"/>
      <c r="C35" s="39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39"/>
      <c r="U35" s="41"/>
      <c r="V35" s="41"/>
      <c r="W35" s="41"/>
      <c r="X35" s="41"/>
      <c r="Y35" s="41"/>
      <c r="Z35" s="41"/>
      <c r="AA35" s="41"/>
      <c r="AB35" s="41"/>
      <c r="AC35" s="41"/>
      <c r="AD35" s="39"/>
    </row>
    <row r="36" spans="2:30" x14ac:dyDescent="0.25">
      <c r="B36" s="39"/>
      <c r="C36" s="39"/>
      <c r="D36" s="41"/>
      <c r="E36" s="65" t="str">
        <f>CHOOSE(calculation!D7,"Top 6 ", "Bottom 6 ")&amp;"Sorted Based on % Δ B"</f>
        <v>Top 6 Sorted Based on % Δ B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39"/>
      <c r="U36" s="41"/>
      <c r="V36" s="41"/>
      <c r="W36" s="41"/>
      <c r="X36" s="41"/>
      <c r="Y36" s="41"/>
      <c r="Z36" s="41"/>
      <c r="AA36" s="41"/>
      <c r="AB36" s="41"/>
      <c r="AC36" s="41"/>
      <c r="AD36" s="39"/>
    </row>
    <row r="37" spans="2:30" x14ac:dyDescent="0.25">
      <c r="B37" s="39"/>
      <c r="C37" s="39"/>
      <c r="D37" s="41"/>
      <c r="E37" s="65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39"/>
      <c r="U37" s="41"/>
      <c r="V37" s="41"/>
      <c r="W37" s="41"/>
      <c r="X37" s="41"/>
      <c r="Y37" s="41"/>
      <c r="Z37" s="41"/>
      <c r="AA37" s="41"/>
      <c r="AB37" s="41"/>
      <c r="AC37" s="41"/>
      <c r="AD37" s="39"/>
    </row>
    <row r="38" spans="2:30" x14ac:dyDescent="0.25">
      <c r="B38" s="39"/>
      <c r="C38" s="39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39"/>
      <c r="U38" s="41"/>
      <c r="V38" s="41"/>
      <c r="W38" s="41"/>
      <c r="X38" s="41"/>
      <c r="Y38" s="41"/>
      <c r="Z38" s="41"/>
      <c r="AA38" s="41"/>
      <c r="AB38" s="41"/>
      <c r="AC38" s="41"/>
      <c r="AD38" s="39"/>
    </row>
    <row r="39" spans="2:30" x14ac:dyDescent="0.25">
      <c r="B39" s="39"/>
      <c r="C39" s="39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39"/>
      <c r="U39" s="41"/>
      <c r="V39" s="41"/>
      <c r="W39" s="41"/>
      <c r="X39" s="41"/>
      <c r="Y39" s="41"/>
      <c r="Z39" s="41"/>
      <c r="AA39" s="41"/>
      <c r="AB39" s="41"/>
      <c r="AC39" s="41"/>
      <c r="AD39" s="39"/>
    </row>
    <row r="40" spans="2:30" x14ac:dyDescent="0.25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</row>
  </sheetData>
  <conditionalFormatting sqref="L13:L22">
    <cfRule type="cellIs" dxfId="5" priority="7" operator="equal">
      <formula>"▼"</formula>
    </cfRule>
    <cfRule type="cellIs" dxfId="4" priority="8" operator="equal">
      <formula>"▲"</formula>
    </cfRule>
  </conditionalFormatting>
  <conditionalFormatting sqref="T13:T22 AB13:AB22">
    <cfRule type="cellIs" dxfId="3" priority="1" operator="equal">
      <formula>"▼"</formula>
    </cfRule>
    <cfRule type="cellIs" dxfId="2" priority="2" operator="equal">
      <formula>"▲"</formula>
    </cfRule>
  </conditionalFormatting>
  <dataValidations disablePrompts="1" count="1">
    <dataValidation type="textLength" operator="equal" allowBlank="1" showInputMessage="1" showErrorMessage="1" errorTitle="Year incorrect" error="Please input year as YYYY (4 digits)." promptTitle="Year" prompt="Please input year as YYYY" sqref="F5" xr:uid="{76D5357A-F6ED-47A4-89C2-A1873A3EBE47}">
      <formula1>4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5</xdr:col>
                    <xdr:colOff>15240</xdr:colOff>
                    <xdr:row>6</xdr:row>
                    <xdr:rowOff>0</xdr:rowOff>
                  </from>
                  <to>
                    <xdr:col>7</xdr:col>
                    <xdr:colOff>541020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List Box 6">
              <controlPr defaultSize="0" autoLine="0" autoPict="0">
                <anchor moveWithCells="1">
                  <from>
                    <xdr:col>3</xdr:col>
                    <xdr:colOff>167640</xdr:colOff>
                    <xdr:row>26</xdr:row>
                    <xdr:rowOff>99060</xdr:rowOff>
                  </from>
                  <to>
                    <xdr:col>5</xdr:col>
                    <xdr:colOff>289560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Option Button 7">
              <controlPr defaultSize="0" autoFill="0" autoLine="0" autoPict="0">
                <anchor moveWithCells="1">
                  <from>
                    <xdr:col>3</xdr:col>
                    <xdr:colOff>243840</xdr:colOff>
                    <xdr:row>31</xdr:row>
                    <xdr:rowOff>175260</xdr:rowOff>
                  </from>
                  <to>
                    <xdr:col>5</xdr:col>
                    <xdr:colOff>213360</xdr:colOff>
                    <xdr:row>33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Option Button 8">
              <controlPr defaultSize="0" autoFill="0" autoLine="0" autoPict="0">
                <anchor moveWithCells="1">
                  <from>
                    <xdr:col>3</xdr:col>
                    <xdr:colOff>243840</xdr:colOff>
                    <xdr:row>33</xdr:row>
                    <xdr:rowOff>106680</xdr:rowOff>
                  </from>
                  <to>
                    <xdr:col>5</xdr:col>
                    <xdr:colOff>327660</xdr:colOff>
                    <xdr:row>34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Scroll Bar 5">
              <controlPr defaultSize="0" autoPict="0">
                <anchor moveWithCells="1">
                  <from>
                    <xdr:col>28</xdr:col>
                    <xdr:colOff>182880</xdr:colOff>
                    <xdr:row>12</xdr:row>
                    <xdr:rowOff>0</xdr:rowOff>
                  </from>
                  <to>
                    <xdr:col>28</xdr:col>
                    <xdr:colOff>350520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8" name="Scroll Bar 43">
              <controlPr defaultSize="0" autoPict="0">
                <anchor moveWithCells="1">
                  <from>
                    <xdr:col>24</xdr:col>
                    <xdr:colOff>167640</xdr:colOff>
                    <xdr:row>24</xdr:row>
                    <xdr:rowOff>22860</xdr:rowOff>
                  </from>
                  <to>
                    <xdr:col>28</xdr:col>
                    <xdr:colOff>297180</xdr:colOff>
                    <xdr:row>24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9" name="Check Box 41">
              <controlPr defaultSize="0" autoFill="0" autoLine="0" autoPict="0">
                <anchor moveWithCells="1">
                  <from>
                    <xdr:col>26</xdr:col>
                    <xdr:colOff>190500</xdr:colOff>
                    <xdr:row>24</xdr:row>
                    <xdr:rowOff>213360</xdr:rowOff>
                  </from>
                  <to>
                    <xdr:col>27</xdr:col>
                    <xdr:colOff>129540</xdr:colOff>
                    <xdr:row>26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10" name="Check Box 42">
              <controlPr defaultSize="0" autoFill="0" autoLine="0" autoPict="0">
                <anchor moveWithCells="1">
                  <from>
                    <xdr:col>26</xdr:col>
                    <xdr:colOff>640080</xdr:colOff>
                    <xdr:row>25</xdr:row>
                    <xdr:rowOff>7620</xdr:rowOff>
                  </from>
                  <to>
                    <xdr:col>28</xdr:col>
                    <xdr:colOff>274320</xdr:colOff>
                    <xdr:row>26</xdr:row>
                    <xdr:rowOff>60960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11" id="{16077C3D-7FA8-4F99-AB62-678431E3E644}">
            <x14:dataBar minLength="0" maxLength="100" showValue="0" gradient="0">
              <x14:cfvo type="num">
                <xm:f>calculation!$X$39</xm:f>
              </x14:cfvo>
              <x14:cfvo type="num">
                <xm:f>calculation!$X$40</xm:f>
              </x14:cfvo>
              <x14:fillColor rgb="FF638EC6"/>
              <x14:negativeFillColor theme="0" tint="-0.14999847407452621"/>
              <x14:axisColor rgb="FF000000"/>
            </x14:dataBar>
          </x14:cfRule>
          <xm:sqref>I13:I22</xm:sqref>
        </x14:conditionalFormatting>
        <x14:conditionalFormatting xmlns:xm="http://schemas.microsoft.com/office/excel/2006/main">
          <x14:cfRule type="dataBar" priority="10" id="{8DA391B0-C0FC-4D0B-A543-64CBF360616E}">
            <x14:dataBar minLength="0" maxLength="100" showValue="0" gradient="0">
              <x14:cfvo type="num">
                <xm:f>calculation!$Y$39</xm:f>
              </x14:cfvo>
              <x14:cfvo type="num">
                <xm:f>calculation!$Y$40</xm:f>
              </x14:cfvo>
              <x14:fillColor rgb="FF638EC6"/>
              <x14:negativeFillColor theme="0" tint="-0.14999847407452621"/>
              <x14:axisColor rgb="FF000000"/>
            </x14:dataBar>
          </x14:cfRule>
          <xm:sqref>Q13:Q22</xm:sqref>
        </x14:conditionalFormatting>
        <x14:conditionalFormatting xmlns:xm="http://schemas.microsoft.com/office/excel/2006/main">
          <x14:cfRule type="dataBar" priority="9" id="{560DC738-BD80-43C7-B130-60BAC6857B97}">
            <x14:dataBar minLength="0" maxLength="100" showValue="0" gradient="0">
              <x14:cfvo type="num">
                <xm:f>calculation!$Z$39</xm:f>
              </x14:cfvo>
              <x14:cfvo type="num">
                <xm:f>calculation!$Z$40</xm:f>
              </x14:cfvo>
              <x14:fillColor rgb="FF638EC6"/>
              <x14:negativeFillColor theme="0" tint="-0.14999847407452621"/>
              <x14:axisColor rgb="FF000000"/>
            </x14:dataBar>
          </x14:cfRule>
          <xm:sqref>Y13:Y22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operator="equal" allowBlank="1" showInputMessage="1" showErrorMessage="1" promptTitle="Select the Current Month" prompt="Please select the current month." xr:uid="{7A17B168-C8CA-4004-AB24-5BCBE0F5B8D2}">
          <x14:formula1>
            <xm:f>calculation!$B$15:$B$26</xm:f>
          </x14:formula1>
          <xm:sqref>F6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62BC-B04B-4E41-A4C8-A4B0D8E9187D}">
  <dimension ref="B2:BC41"/>
  <sheetViews>
    <sheetView topLeftCell="AI1" zoomScale="80" zoomScaleNormal="101" workbookViewId="0">
      <selection activeCell="AS13" sqref="AS13"/>
    </sheetView>
  </sheetViews>
  <sheetFormatPr defaultRowHeight="13.8" x14ac:dyDescent="0.25"/>
  <cols>
    <col min="3" max="3" width="16.3984375" customWidth="1"/>
    <col min="7" max="7" width="19.796875" customWidth="1"/>
    <col min="8" max="8" width="10.5" customWidth="1"/>
    <col min="9" max="9" width="13.09765625" customWidth="1"/>
    <col min="14" max="14" width="11.8984375" customWidth="1"/>
    <col min="16" max="16" width="8.796875" customWidth="1"/>
    <col min="24" max="24" width="10.69921875" customWidth="1"/>
    <col min="27" max="27" width="12.3984375" customWidth="1"/>
    <col min="33" max="33" width="13.59765625" customWidth="1"/>
    <col min="34" max="34" width="1.796875" customWidth="1"/>
    <col min="38" max="38" width="10.796875" customWidth="1"/>
    <col min="39" max="39" width="13.8984375" customWidth="1"/>
    <col min="49" max="49" width="9.796875" customWidth="1"/>
  </cols>
  <sheetData>
    <row r="2" spans="2:55" x14ac:dyDescent="0.25">
      <c r="B2" s="37" t="s">
        <v>95</v>
      </c>
      <c r="C2" s="38"/>
      <c r="D2" s="38"/>
      <c r="E2" s="38"/>
      <c r="M2" s="37" t="s">
        <v>100</v>
      </c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F2" s="37" t="s">
        <v>115</v>
      </c>
      <c r="AG2" s="37"/>
      <c r="AH2" s="37"/>
      <c r="AI2" s="37"/>
      <c r="AJ2" s="37"/>
      <c r="AK2" s="37"/>
      <c r="AL2" s="37"/>
      <c r="AM2" s="37"/>
      <c r="AN2" s="37"/>
      <c r="AO2" s="37"/>
      <c r="AP2" s="37"/>
      <c r="AS2" s="37" t="s">
        <v>122</v>
      </c>
      <c r="AT2" s="37"/>
      <c r="AU2" s="37"/>
      <c r="AV2" s="37"/>
      <c r="AW2" s="37"/>
      <c r="AX2" s="37"/>
      <c r="AY2" s="37"/>
      <c r="AZ2" s="37"/>
      <c r="BA2" s="37"/>
      <c r="BB2" s="37"/>
      <c r="BC2" s="37"/>
    </row>
    <row r="4" spans="2:55" x14ac:dyDescent="0.25">
      <c r="C4" t="s">
        <v>96</v>
      </c>
      <c r="D4">
        <v>3</v>
      </c>
    </row>
    <row r="5" spans="2:55" x14ac:dyDescent="0.25">
      <c r="C5" t="s">
        <v>116</v>
      </c>
      <c r="D5">
        <v>1</v>
      </c>
    </row>
    <row r="6" spans="2:55" x14ac:dyDescent="0.25">
      <c r="C6" t="s">
        <v>117</v>
      </c>
      <c r="D6">
        <v>2</v>
      </c>
    </row>
    <row r="7" spans="2:55" x14ac:dyDescent="0.25">
      <c r="C7" t="s">
        <v>119</v>
      </c>
      <c r="D7">
        <v>1</v>
      </c>
    </row>
    <row r="8" spans="2:55" x14ac:dyDescent="0.25">
      <c r="C8" t="s">
        <v>123</v>
      </c>
      <c r="D8">
        <v>9</v>
      </c>
      <c r="O8" t="str">
        <f>O9&amp;O10&amp;O11&amp;O12</f>
        <v>2017JunActualRevenue</v>
      </c>
      <c r="P8" t="str">
        <f>P9&amp;P10&amp;P11&amp;P12</f>
        <v>2017JunActualProfit</v>
      </c>
      <c r="Q8" t="str">
        <f t="shared" ref="Q8:W8" si="0">Q9&amp;Q10&amp;Q11&amp;Q12</f>
        <v>2017JunActualCash</v>
      </c>
      <c r="R8" t="str">
        <f t="shared" si="0"/>
        <v>2016JunActualRevenue</v>
      </c>
      <c r="S8" t="str">
        <f>S9&amp;S10&amp;S11&amp;S12</f>
        <v>2016JunActualProfit</v>
      </c>
      <c r="T8" t="str">
        <f t="shared" si="0"/>
        <v>2016JunActualCash</v>
      </c>
      <c r="U8" t="str">
        <f t="shared" si="0"/>
        <v>2017JunBudgetRevenue</v>
      </c>
      <c r="V8" t="str">
        <f t="shared" si="0"/>
        <v>2017JunBudgetProfit</v>
      </c>
      <c r="W8" t="str">
        <f t="shared" si="0"/>
        <v>2017JunBudgetCash</v>
      </c>
    </row>
    <row r="9" spans="2:55" x14ac:dyDescent="0.25">
      <c r="C9" t="s">
        <v>127</v>
      </c>
      <c r="D9" t="b">
        <v>1</v>
      </c>
      <c r="O9" s="24">
        <f>CY</f>
        <v>2017</v>
      </c>
      <c r="P9" s="24">
        <f>CY</f>
        <v>2017</v>
      </c>
      <c r="Q9" s="24">
        <f>CY</f>
        <v>2017</v>
      </c>
      <c r="R9" s="24">
        <f>CY-1</f>
        <v>2016</v>
      </c>
      <c r="S9" s="24">
        <f>CY-1</f>
        <v>2016</v>
      </c>
      <c r="T9" s="24">
        <f>CY-1</f>
        <v>2016</v>
      </c>
      <c r="U9" s="24">
        <f>CY</f>
        <v>2017</v>
      </c>
      <c r="V9" s="24">
        <f>CY</f>
        <v>2017</v>
      </c>
      <c r="W9" s="24">
        <f>CY</f>
        <v>2017</v>
      </c>
    </row>
    <row r="10" spans="2:55" x14ac:dyDescent="0.25">
      <c r="C10" t="s">
        <v>128</v>
      </c>
      <c r="D10" t="b">
        <v>1</v>
      </c>
      <c r="O10" s="24" t="str">
        <f t="shared" ref="O10:W10" si="1">CM</f>
        <v>Jun</v>
      </c>
      <c r="P10" s="24" t="str">
        <f t="shared" si="1"/>
        <v>Jun</v>
      </c>
      <c r="Q10" s="24" t="str">
        <f t="shared" si="1"/>
        <v>Jun</v>
      </c>
      <c r="R10" s="24" t="str">
        <f t="shared" si="1"/>
        <v>Jun</v>
      </c>
      <c r="S10" s="24" t="str">
        <f t="shared" si="1"/>
        <v>Jun</v>
      </c>
      <c r="T10" s="24" t="str">
        <f t="shared" si="1"/>
        <v>Jun</v>
      </c>
      <c r="U10" s="24" t="str">
        <f t="shared" si="1"/>
        <v>Jun</v>
      </c>
      <c r="V10" s="24" t="str">
        <f t="shared" si="1"/>
        <v>Jun</v>
      </c>
      <c r="W10" s="24" t="str">
        <f t="shared" si="1"/>
        <v>Jun</v>
      </c>
    </row>
    <row r="11" spans="2:55" x14ac:dyDescent="0.25">
      <c r="O11" s="24" t="s">
        <v>11</v>
      </c>
      <c r="P11" s="24" t="s">
        <v>11</v>
      </c>
      <c r="Q11" s="24" t="s">
        <v>11</v>
      </c>
      <c r="R11" s="24" t="s">
        <v>11</v>
      </c>
      <c r="S11" s="24" t="s">
        <v>11</v>
      </c>
      <c r="T11" s="24" t="s">
        <v>11</v>
      </c>
      <c r="U11" s="24" t="s">
        <v>18</v>
      </c>
      <c r="V11" s="24" t="s">
        <v>18</v>
      </c>
      <c r="W11" s="24" t="s">
        <v>18</v>
      </c>
    </row>
    <row r="12" spans="2:55" x14ac:dyDescent="0.25">
      <c r="O12" s="24" t="s">
        <v>46</v>
      </c>
      <c r="P12" s="24" t="s">
        <v>47</v>
      </c>
      <c r="Q12" s="24" t="s">
        <v>48</v>
      </c>
      <c r="R12" t="s">
        <v>46</v>
      </c>
      <c r="S12" s="24" t="s">
        <v>47</v>
      </c>
      <c r="T12" t="s">
        <v>48</v>
      </c>
      <c r="U12" t="s">
        <v>46</v>
      </c>
      <c r="V12" s="24" t="s">
        <v>47</v>
      </c>
      <c r="W12" t="s">
        <v>48</v>
      </c>
      <c r="AK12" s="65" t="str">
        <f>CHOOSE(calculation!D7,"Top 6 ", "Bottom 6 ")&amp;"Sorted Based on % Δ B"</f>
        <v>Top 6 Sorted Based on % Δ B</v>
      </c>
      <c r="AL12" s="13"/>
      <c r="AS12" t="str">
        <f>IFERROR(INDEX(calculation!G14:I29,calculation!D8,calculation!D4),"")</f>
        <v>Mosquit</v>
      </c>
    </row>
    <row r="13" spans="2:55" x14ac:dyDescent="0.25">
      <c r="B13" s="37" t="s">
        <v>97</v>
      </c>
      <c r="C13" s="38"/>
      <c r="D13" s="38"/>
      <c r="E13" s="38"/>
      <c r="G13" s="37" t="s">
        <v>98</v>
      </c>
      <c r="H13" s="38"/>
      <c r="I13" s="38"/>
      <c r="O13" s="39" t="s">
        <v>11</v>
      </c>
      <c r="P13" s="39"/>
      <c r="Q13" s="39"/>
      <c r="R13" s="39" t="s">
        <v>20</v>
      </c>
      <c r="S13" s="39"/>
      <c r="T13" s="39"/>
      <c r="U13" s="39" t="s">
        <v>18</v>
      </c>
      <c r="V13" s="39"/>
      <c r="W13" s="39"/>
      <c r="X13" s="39" t="s">
        <v>104</v>
      </c>
      <c r="Y13" s="39"/>
      <c r="Z13" s="39"/>
      <c r="AA13" s="39" t="s">
        <v>105</v>
      </c>
      <c r="AB13" s="39"/>
      <c r="AC13" s="39"/>
      <c r="AI13" t="s">
        <v>118</v>
      </c>
      <c r="AK13" s="65" t="str">
        <f>"Actual "&amp;INDEX(calculation!$D$15:$D$17,calculation!$D$6)&amp;" Vs. Budget"</f>
        <v>Actual Profit Vs. Budget</v>
      </c>
      <c r="AL13" s="13"/>
      <c r="AW13" t="s">
        <v>125</v>
      </c>
    </row>
    <row r="14" spans="2:55" x14ac:dyDescent="0.25">
      <c r="G14" s="13" t="str">
        <f t="array" ref="G14:I14">TRANSPOSE(C15:C17)</f>
        <v>Productivity Apps</v>
      </c>
      <c r="H14" s="13" t="str">
        <v>Game Apps</v>
      </c>
      <c r="I14" s="13" t="str">
        <v>Utility Apps</v>
      </c>
      <c r="M14" s="39" t="s">
        <v>101</v>
      </c>
      <c r="N14" s="39" t="s">
        <v>102</v>
      </c>
      <c r="O14" s="10" t="s">
        <v>46</v>
      </c>
      <c r="P14" s="10" t="s">
        <v>103</v>
      </c>
      <c r="Q14" s="10" t="s">
        <v>48</v>
      </c>
      <c r="R14" s="40" t="s">
        <v>46</v>
      </c>
      <c r="S14" s="40" t="s">
        <v>103</v>
      </c>
      <c r="T14" s="40" t="s">
        <v>48</v>
      </c>
      <c r="U14" s="11" t="s">
        <v>46</v>
      </c>
      <c r="V14" s="11" t="s">
        <v>103</v>
      </c>
      <c r="W14" s="11" t="s">
        <v>48</v>
      </c>
      <c r="X14" s="40" t="s">
        <v>106</v>
      </c>
      <c r="Y14" s="40" t="s">
        <v>107</v>
      </c>
      <c r="Z14" s="40" t="s">
        <v>108</v>
      </c>
      <c r="AA14" s="11" t="s">
        <v>106</v>
      </c>
      <c r="AB14" s="11" t="s">
        <v>107</v>
      </c>
      <c r="AC14" s="11" t="s">
        <v>108</v>
      </c>
      <c r="AF14" s="39" t="s">
        <v>102</v>
      </c>
      <c r="AG14" s="11" t="str">
        <f>INDEX($D$15:$D$17,$D$6,) &amp; " % Δ B"</f>
        <v>Profit % Δ B</v>
      </c>
      <c r="AH14" s="39"/>
      <c r="AI14" s="39" t="s">
        <v>102</v>
      </c>
      <c r="AJ14" s="10" t="s">
        <v>11</v>
      </c>
      <c r="AK14" s="11" t="s">
        <v>18</v>
      </c>
      <c r="AL14" t="s">
        <v>121</v>
      </c>
      <c r="AM14" t="s">
        <v>120</v>
      </c>
      <c r="AS14" s="66"/>
      <c r="AT14" s="67">
        <f>CY</f>
        <v>2017</v>
      </c>
      <c r="AU14" s="68">
        <f>AT14-1</f>
        <v>2016</v>
      </c>
      <c r="AV14" s="69">
        <f>CY</f>
        <v>2017</v>
      </c>
      <c r="AW14" s="67">
        <v>2017</v>
      </c>
      <c r="AX14" s="68">
        <f>AW14-1</f>
        <v>2016</v>
      </c>
      <c r="AY14" s="69">
        <f>CY</f>
        <v>2017</v>
      </c>
      <c r="AZ14" t="s">
        <v>126</v>
      </c>
    </row>
    <row r="15" spans="2:55" x14ac:dyDescent="0.25">
      <c r="B15" t="s">
        <v>34</v>
      </c>
      <c r="C15" t="s">
        <v>49</v>
      </c>
      <c r="D15" t="s">
        <v>46</v>
      </c>
      <c r="G15" t="s">
        <v>50</v>
      </c>
      <c r="H15" t="s">
        <v>66</v>
      </c>
      <c r="I15" t="s">
        <v>79</v>
      </c>
      <c r="M15">
        <f>IF(N15&lt;&gt;"",ROWS($N$15:N15),"")</f>
        <v>1</v>
      </c>
      <c r="N15" t="str">
        <f>INDEX(G15:I15,$D$4)&amp;""</f>
        <v>Commuta</v>
      </c>
      <c r="O15" s="57">
        <f>IF($N15&lt;&gt;"",INDEX(datasets!$B$9:$D$51,MATCH($N15,datasets!$A$9:$A$51,0),MATCH(O$8,datasets!$B$4:$D$4,0)),"")</f>
        <v>6353</v>
      </c>
      <c r="P15" s="57">
        <f>IF($N15&lt;&gt;"",INDEX(datasets!$B$9:$D$51,MATCH($N15,datasets!$A$9:$A$51,0),MATCH(P$8,datasets!$B$4:$D$4,0)),"")</f>
        <v>762</v>
      </c>
      <c r="Q15" s="57">
        <f>IF($N15&lt;&gt;"",INDEX(datasets!$B$9:$D$51,MATCH($N15,datasets!$A$9:$A$51,0),MATCH(Q$8,datasets!$B$4:$D$4,0)),"")</f>
        <v>7332</v>
      </c>
      <c r="R15" s="57">
        <f>IF($N15&lt;&gt;"",INDEX(datasets!$E$9:$G$51,MATCH($N15,datasets!$A$9:$A$51,0),MATCH(R$8,datasets!$E$4:$G$4,0)),"")</f>
        <v>5993</v>
      </c>
      <c r="S15" s="57">
        <f>IF($N15&lt;&gt;"",INDEX(datasets!$E$9:$G$51,MATCH($N15,datasets!$A$9:$A$51,0),MATCH(S$8,datasets!$E$4:$G$4,0)),"")</f>
        <v>674</v>
      </c>
      <c r="T15" s="57">
        <f>IF($N15&lt;&gt;"",INDEX(datasets!$E$9:$G$51,MATCH($N15,datasets!$A$9:$A$51,0),MATCH(T$8,datasets!$E$4:$G$4,0)),"")</f>
        <v>7167</v>
      </c>
      <c r="U15" s="57">
        <f>IF($N15&lt;&gt;"",INDEX(datasets!$H$9:$J$51,MATCH($N15,datasets!$A$9:$A$51,0),MATCH(U$8,datasets!$H$4:$J$4,0)),"")</f>
        <v>5275</v>
      </c>
      <c r="V15" s="57">
        <f>IF($N15&lt;&gt;"",INDEX(datasets!$H$9:$J$51,MATCH($N15,datasets!$A$9:$A$51,0),MATCH(V$8,datasets!$H$4:$J$4,0)),"")</f>
        <v>568</v>
      </c>
      <c r="W15" s="57">
        <f>IF($N15&lt;&gt;"",INDEX(datasets!$H$9:$J$51,MATCH($N15,datasets!$A$9:$A$51,0),MATCH(W$8,datasets!$H$4:$J$4,0)),"")</f>
        <v>7227</v>
      </c>
      <c r="X15" s="42">
        <f t="shared" ref="X15:X34" si="2">IF($N15&lt;&gt;"",(O15-R15)/R15,"")</f>
        <v>6.0070081762055728E-2</v>
      </c>
      <c r="Y15" s="42">
        <f t="shared" ref="Y15:Y34" si="3">IF($N15&lt;&gt;"",(P15-S15)/S15,"")</f>
        <v>0.13056379821958458</v>
      </c>
      <c r="Z15" s="42">
        <f>IF($N15&lt;&gt;"",(Q15-T15)/T15,"")</f>
        <v>2.3022185014650483E-2</v>
      </c>
      <c r="AA15" s="42">
        <f>IF($N15&lt;&gt;"",(O15-U15)/U15,"")</f>
        <v>0.20436018957345972</v>
      </c>
      <c r="AB15" s="42">
        <f t="shared" ref="AB15:AC15" si="4">IF($N15&lt;&gt;"",(P15-V15)/V15,"")</f>
        <v>0.34154929577464788</v>
      </c>
      <c r="AC15" s="42">
        <f t="shared" si="4"/>
        <v>1.4528850145288501E-2</v>
      </c>
      <c r="AF15" t="str">
        <f>N15</f>
        <v>Commuta</v>
      </c>
      <c r="AG15" s="44">
        <f>IFERROR(INDEX(AA15:AC15,,$D$6)+(ROW(AA15)/1000000000000)+N("The modification is required for making sure the value is unique"),"")</f>
        <v>0.34154929578964788</v>
      </c>
      <c r="AH15" s="39"/>
      <c r="AI15" t="str">
        <f>INDEX($N$15:$N$34,MATCH(CHOOSE($D$7,LARGE($AG$15:$AG$34,ROWS($AA$15:AA15)),SMALL($AG$15:$AG$34,ROWS($AA$15:AA15))),$AG$15:$AG$34,0))</f>
        <v>Mosquit</v>
      </c>
      <c r="AJ15" s="57">
        <f>INDEX($O$15:$Q$34,MATCH(AI15,$N$15:$N$34,0),$D$6)</f>
        <v>240</v>
      </c>
      <c r="AK15" s="57">
        <f>INDEX($U$15:$W$34,MATCH(AI15,$N$15:$N$34,0),$D$6)</f>
        <v>156</v>
      </c>
      <c r="AL15" s="57">
        <f>MAX(AJ15:AK15)</f>
        <v>240</v>
      </c>
      <c r="AM15" t="str">
        <f>TEXT(INDEX($AG$15:$AG$29,MATCH(AI15,$AF$15:$AF$29,0)), "0%")&amp;" | "&amp;TEXT(AJ15, "$#.##0")</f>
        <v>54% | $240</v>
      </c>
      <c r="AS15" s="66" t="s">
        <v>93</v>
      </c>
      <c r="AT15" s="67" t="s">
        <v>11</v>
      </c>
      <c r="AU15" s="68" t="s">
        <v>11</v>
      </c>
      <c r="AV15" s="69" t="s">
        <v>18</v>
      </c>
      <c r="AW15" s="67" t="s">
        <v>124</v>
      </c>
      <c r="AX15" s="68" t="s">
        <v>11</v>
      </c>
      <c r="AY15" s="69" t="s">
        <v>18</v>
      </c>
      <c r="AZ15" s="67" t="s">
        <v>11</v>
      </c>
    </row>
    <row r="16" spans="2:55" x14ac:dyDescent="0.25">
      <c r="B16" t="s">
        <v>35</v>
      </c>
      <c r="C16" t="s">
        <v>65</v>
      </c>
      <c r="D16" t="s">
        <v>47</v>
      </c>
      <c r="G16" t="s">
        <v>51</v>
      </c>
      <c r="H16" t="s">
        <v>67</v>
      </c>
      <c r="I16" t="s">
        <v>80</v>
      </c>
      <c r="M16">
        <f>IF(N16&lt;&gt;"",ROWS($N$15:N16),"")</f>
        <v>2</v>
      </c>
      <c r="N16" t="str">
        <f t="shared" ref="N16:N34" si="5">INDEX(G16:I16,$D$4)&amp;""</f>
        <v>Infic</v>
      </c>
      <c r="O16" s="57">
        <f>IF($N16&lt;&gt;"",INDEX(datasets!$B$9:$D$51,MATCH($N16,datasets!$A$9:$A$51,0),MATCH(O$8,datasets!$B$4:$D$4,0)),"")</f>
        <v>12373</v>
      </c>
      <c r="P16" s="57">
        <f>IF($N16&lt;&gt;"",INDEX(datasets!$B$9:$D$51,MATCH($N16,datasets!$A$9:$A$51,0),MATCH(P$8,datasets!$B$4:$D$4,0)),"")</f>
        <v>408</v>
      </c>
      <c r="Q16" s="57">
        <f>IF($N16&lt;&gt;"",INDEX(datasets!$B$9:$D$51,MATCH($N16,datasets!$A$9:$A$51,0),MATCH(Q$8,datasets!$B$4:$D$4,0)),"")</f>
        <v>3054</v>
      </c>
      <c r="R16" s="57">
        <f>IF($N16&lt;&gt;"",INDEX(datasets!$E$9:$G$51,MATCH($N16,datasets!$A$9:$A$51,0),MATCH(R$8,datasets!$E$4:$G$4,0)),"")</f>
        <v>12398</v>
      </c>
      <c r="S16" s="57">
        <f>IF($N16&lt;&gt;"",INDEX(datasets!$E$9:$G$51,MATCH($N16,datasets!$A$9:$A$51,0),MATCH(S$8,datasets!$E$4:$G$4,0)),"")</f>
        <v>341</v>
      </c>
      <c r="T16" s="57">
        <f>IF($N16&lt;&gt;"",INDEX(datasets!$E$9:$G$51,MATCH($N16,datasets!$A$9:$A$51,0),MATCH(T$8,datasets!$E$4:$G$4,0)),"")</f>
        <v>3033</v>
      </c>
      <c r="U16" s="57">
        <f>IF($N16&lt;&gt;"",INDEX(datasets!$H$9:$J$51,MATCH($N16,datasets!$A$9:$A$51,0),MATCH(U$8,datasets!$H$4:$J$4,0)),"")</f>
        <v>10472</v>
      </c>
      <c r="V16" s="57">
        <f>IF($N16&lt;&gt;"",INDEX(datasets!$H$9:$J$51,MATCH($N16,datasets!$A$9:$A$51,0),MATCH(V$8,datasets!$H$4:$J$4,0)),"")</f>
        <v>461</v>
      </c>
      <c r="W16" s="57">
        <f>IF($N16&lt;&gt;"",INDEX(datasets!$H$9:$J$51,MATCH($N16,datasets!$A$9:$A$51,0),MATCH(W$8,datasets!$H$4:$J$4,0)),"")</f>
        <v>2910</v>
      </c>
      <c r="X16" s="42">
        <f t="shared" si="2"/>
        <v>-2.0164542668172285E-3</v>
      </c>
      <c r="Y16" s="42">
        <f t="shared" si="3"/>
        <v>0.19648093841642228</v>
      </c>
      <c r="Z16" s="42">
        <f t="shared" ref="Z16:Z34" si="6">IF($N16&lt;&gt;"",(Q16-T16)/T16,"")</f>
        <v>6.923837784371909E-3</v>
      </c>
      <c r="AA16" s="42">
        <f t="shared" ref="AA16:AA27" si="7">IF($N16&lt;&gt;"",(O16-U16)/U16,"")</f>
        <v>0.18153170359052712</v>
      </c>
      <c r="AB16" s="42">
        <f t="shared" ref="AB16:AB27" si="8">IF($N16&lt;&gt;"",(P16-V16)/V16,"")</f>
        <v>-0.11496746203904555</v>
      </c>
      <c r="AC16" s="42">
        <f t="shared" ref="AC16:AC27" si="9">IF($N16&lt;&gt;"",(Q16-W16)/W16,"")</f>
        <v>4.9484536082474224E-2</v>
      </c>
      <c r="AF16" t="str">
        <f t="shared" ref="AF16:AF34" si="10">N16</f>
        <v>Infic</v>
      </c>
      <c r="AG16" s="44">
        <f t="shared" ref="AG16:AG34" si="11">IFERROR(INDEX(AA16:AC16,,$D$6)+(ROW(AA16)/1000000000000)+N("The modification is required for making sure the value is unique"),"")</f>
        <v>-0.11496746202304554</v>
      </c>
      <c r="AH16" s="39"/>
      <c r="AI16" t="str">
        <f>INDEX($N$15:$N$34,MATCH(CHOOSE($D$7,LARGE($AG$15:$AG$34,ROWS($AA$15:AA16)),SMALL($AG$15:$AG$34,ROWS($AA$15:AA16))),$AG$15:$AG$34,0))</f>
        <v>Motocyco</v>
      </c>
      <c r="AJ16" s="57">
        <f t="shared" ref="AJ16:AJ20" si="12">INDEX($O$15:$Q$34,MATCH(AI16,$N$15:$N$34,0),$D$6)</f>
        <v>1193</v>
      </c>
      <c r="AK16" s="57">
        <f t="shared" ref="AK16:AK20" si="13">INDEX($U$15:$W$34,MATCH(AI16,$N$15:$N$34,0),$D$6)</f>
        <v>810</v>
      </c>
      <c r="AL16" s="57">
        <f t="shared" ref="AL16:AL20" si="14">MAX(AJ16:AK16)</f>
        <v>1193</v>
      </c>
      <c r="AM16" t="str">
        <f t="shared" ref="AM16:AM20" si="15">TEXT(INDEX($AG$15:$AG$29,MATCH(AI16,$AF$15:$AF$29,0)), "0%")&amp;" | "&amp;TEXT(AJ16, "$#.##0")</f>
        <v>47% | $1.193</v>
      </c>
      <c r="AS16" t="s">
        <v>34</v>
      </c>
      <c r="AT16" s="57">
        <f>INDEX(datasets!$K$9:$V$51,MATCH(calculation!$AS$12,datasets!$A$9:$A$51,0),MATCH(calculation!AT$14&amp;calculation!$AS16&amp;calculation!AT$15,INDEX(datasets!$K$5:$V$5&amp;datasets!$K$6:$V$6&amp;datasets!$K$7:$V$7,),0))</f>
        <v>36</v>
      </c>
      <c r="AU16" s="57">
        <f>INDEX(datasets!$W$9:$AH$51,MATCH(calculation!$AS$12,datasets!$A$9:$A$51,0),MATCH(calculation!AU$14&amp;calculation!$AS16&amp;calculation!AU$15,INDEX(datasets!$W$5:$AH$5&amp;datasets!$W$6:$AH$6&amp;datasets!$W$7:$AH$7,),0))</f>
        <v>20</v>
      </c>
      <c r="AV16" s="57">
        <f>INDEX(datasets!$AI$9:$AT$51,MATCH(calculation!$AS$12,datasets!$A$9:$A$51,0),MATCH(calculation!AV$14&amp;calculation!$AS16&amp;calculation!AV$15,INDEX(datasets!$AI$5:$AT$5&amp;datasets!$AI$6:$AT$6&amp;datasets!$AI$7:$AT$7,),0))</f>
        <v>8</v>
      </c>
      <c r="AW16" s="57">
        <f>IF(AT16&lt;&gt;0,AT16,NA())</f>
        <v>36</v>
      </c>
      <c r="AX16" s="57">
        <f>IF($D$9,AU16,NA())</f>
        <v>20</v>
      </c>
      <c r="AY16" s="57">
        <f>IF($D$10,AV16,NA())</f>
        <v>8</v>
      </c>
      <c r="AZ16" s="57" t="e">
        <f>IF(AS16=CM,AT16,NA())</f>
        <v>#N/A</v>
      </c>
    </row>
    <row r="17" spans="2:52" x14ac:dyDescent="0.25">
      <c r="B17" t="s">
        <v>36</v>
      </c>
      <c r="C17" t="s">
        <v>78</v>
      </c>
      <c r="D17" t="s">
        <v>48</v>
      </c>
      <c r="G17" t="s">
        <v>52</v>
      </c>
      <c r="H17" t="s">
        <v>68</v>
      </c>
      <c r="I17" t="s">
        <v>81</v>
      </c>
      <c r="M17">
        <f>IF(N17&lt;&gt;"",ROWS($N$15:N17),"")</f>
        <v>3</v>
      </c>
      <c r="N17" t="str">
        <f t="shared" si="5"/>
        <v>Accord</v>
      </c>
      <c r="O17" s="57">
        <f>IF($N17&lt;&gt;"",INDEX(datasets!$B$9:$D$51,MATCH($N17,datasets!$A$9:$A$51,0),MATCH(O$8,datasets!$B$4:$D$4,0)),"")</f>
        <v>17760</v>
      </c>
      <c r="P17" s="57">
        <f>IF($N17&lt;&gt;"",INDEX(datasets!$B$9:$D$51,MATCH($N17,datasets!$A$9:$A$51,0),MATCH(P$8,datasets!$B$4:$D$4,0)),"")</f>
        <v>800</v>
      </c>
      <c r="Q17" s="57">
        <f>IF($N17&lt;&gt;"",INDEX(datasets!$B$9:$D$51,MATCH($N17,datasets!$A$9:$A$51,0),MATCH(Q$8,datasets!$B$4:$D$4,0)),"")</f>
        <v>6488</v>
      </c>
      <c r="R17" s="57">
        <f>IF($N17&lt;&gt;"",INDEX(datasets!$E$9:$G$51,MATCH($N17,datasets!$A$9:$A$51,0),MATCH(R$8,datasets!$E$4:$G$4,0)),"")</f>
        <v>17025</v>
      </c>
      <c r="S17" s="57">
        <f>IF($N17&lt;&gt;"",INDEX(datasets!$E$9:$G$51,MATCH($N17,datasets!$A$9:$A$51,0),MATCH(S$8,datasets!$E$4:$G$4,0)),"")</f>
        <v>568</v>
      </c>
      <c r="T17" s="57">
        <f>IF($N17&lt;&gt;"",INDEX(datasets!$E$9:$G$51,MATCH($N17,datasets!$A$9:$A$51,0),MATCH(T$8,datasets!$E$4:$G$4,0)),"")</f>
        <v>7469</v>
      </c>
      <c r="U17" s="57">
        <f>IF($N17&lt;&gt;"",INDEX(datasets!$H$9:$J$51,MATCH($N17,datasets!$A$9:$A$51,0),MATCH(U$8,datasets!$H$4:$J$4,0)),"")</f>
        <v>16854</v>
      </c>
      <c r="V17" s="57">
        <f>IF($N17&lt;&gt;"",INDEX(datasets!$H$9:$J$51,MATCH($N17,datasets!$A$9:$A$51,0),MATCH(V$8,datasets!$H$4:$J$4,0)),"")</f>
        <v>572</v>
      </c>
      <c r="W17" s="57">
        <f>IF($N17&lt;&gt;"",INDEX(datasets!$H$9:$J$51,MATCH($N17,datasets!$A$9:$A$51,0),MATCH(W$8,datasets!$H$4:$J$4,0)),"")</f>
        <v>6611</v>
      </c>
      <c r="X17" s="42">
        <f t="shared" si="2"/>
        <v>4.3171806167400878E-2</v>
      </c>
      <c r="Y17" s="42">
        <f t="shared" si="3"/>
        <v>0.40845070422535212</v>
      </c>
      <c r="Z17" s="42">
        <f t="shared" si="6"/>
        <v>-0.13134288392020352</v>
      </c>
      <c r="AA17" s="42">
        <f t="shared" si="7"/>
        <v>5.3755784976860094E-2</v>
      </c>
      <c r="AB17" s="42">
        <f t="shared" si="8"/>
        <v>0.39860139860139859</v>
      </c>
      <c r="AC17" s="42">
        <f t="shared" si="9"/>
        <v>-1.8605354711843897E-2</v>
      </c>
      <c r="AF17" t="str">
        <f t="shared" si="10"/>
        <v>Accord</v>
      </c>
      <c r="AG17" s="44">
        <f t="shared" si="11"/>
        <v>0.39860139861839861</v>
      </c>
      <c r="AH17" s="39"/>
      <c r="AI17" t="str">
        <f>INDEX($N$15:$N$34,MATCH(CHOOSE($D$7,LARGE($AG$15:$AG$34,ROWS($AA$15:AA17)),SMALL($AG$15:$AG$34,ROWS($AA$15:AA17))),$AG$15:$AG$34,0))</f>
        <v>Tanox</v>
      </c>
      <c r="AJ17" s="57">
        <f t="shared" si="12"/>
        <v>1264</v>
      </c>
      <c r="AK17" s="57">
        <f t="shared" si="13"/>
        <v>860</v>
      </c>
      <c r="AL17" s="57">
        <f t="shared" si="14"/>
        <v>1264</v>
      </c>
      <c r="AM17" t="str">
        <f t="shared" si="15"/>
        <v>47% | $1.264</v>
      </c>
      <c r="AS17" t="s">
        <v>35</v>
      </c>
      <c r="AT17" s="57">
        <f>INDEX(datasets!$K$9:$V$51,MATCH(calculation!$AS$12,datasets!$A$9:$A$51,0),MATCH(calculation!AT$14&amp;calculation!$AS17&amp;calculation!AT$15,INDEX(datasets!$K$5:$V$5&amp;datasets!$K$6:$V$6&amp;datasets!$K$7:$V$7,),0))</f>
        <v>81</v>
      </c>
      <c r="AU17" s="57">
        <f>INDEX(datasets!$W$9:$AH$51,MATCH(calculation!$AS$12,datasets!$A$9:$A$51,0),MATCH(calculation!AU$14&amp;calculation!$AS17&amp;calculation!AU$15,INDEX(datasets!$W$5:$AH$5&amp;datasets!$W$6:$AH$6&amp;datasets!$W$7:$AH$7,),0))</f>
        <v>22</v>
      </c>
      <c r="AV17" s="57">
        <f>INDEX(datasets!$AI$9:$AT$51,MATCH(calculation!$AS$12,datasets!$A$9:$A$51,0),MATCH(calculation!AV$14&amp;calculation!$AS17&amp;calculation!AV$15,INDEX(datasets!$AI$5:$AT$5&amp;datasets!$AI$6:$AT$6&amp;datasets!$AI$7:$AT$7,),0))</f>
        <v>12</v>
      </c>
      <c r="AW17" s="57">
        <f t="shared" ref="AW17:AW27" si="16">IF(AT17&lt;&gt;0,AT17,NA())</f>
        <v>81</v>
      </c>
      <c r="AX17" s="57">
        <f t="shared" ref="AX17:AX27" si="17">IF($D$9,AU17,NA())</f>
        <v>22</v>
      </c>
      <c r="AY17" s="57">
        <f t="shared" ref="AY17:AY27" si="18">IF($D$10,AV17,NA())</f>
        <v>12</v>
      </c>
      <c r="AZ17" s="57" t="e">
        <f>IF(AS17=CM,AT17,NA())</f>
        <v>#N/A</v>
      </c>
    </row>
    <row r="18" spans="2:52" x14ac:dyDescent="0.25">
      <c r="B18" t="s">
        <v>37</v>
      </c>
      <c r="G18" t="s">
        <v>53</v>
      </c>
      <c r="H18" t="s">
        <v>69</v>
      </c>
      <c r="I18" t="s">
        <v>82</v>
      </c>
      <c r="M18">
        <f>IF(N18&lt;&gt;"",ROWS($N$15:N18),"")</f>
        <v>4</v>
      </c>
      <c r="N18" t="str">
        <f t="shared" si="5"/>
        <v>Misty Wash</v>
      </c>
      <c r="O18" s="57">
        <f>IF($N18&lt;&gt;"",INDEX(datasets!$B$9:$D$51,MATCH($N18,datasets!$A$9:$A$51,0),MATCH(O$8,datasets!$B$4:$D$4,0)),"")</f>
        <v>30399.599999999999</v>
      </c>
      <c r="P18" s="57">
        <f>IF($N18&lt;&gt;"",INDEX(datasets!$B$9:$D$51,MATCH($N18,datasets!$A$9:$A$51,0),MATCH(P$8,datasets!$B$4:$D$4,0)),"")</f>
        <v>786.8</v>
      </c>
      <c r="Q18" s="57">
        <f>IF($N18&lt;&gt;"",INDEX(datasets!$B$9:$D$51,MATCH($N18,datasets!$A$9:$A$51,0),MATCH(Q$8,datasets!$B$4:$D$4,0)),"")</f>
        <v>12308.8</v>
      </c>
      <c r="R18" s="57">
        <f>IF($N18&lt;&gt;"",INDEX(datasets!$E$9:$G$51,MATCH($N18,datasets!$A$9:$A$51,0),MATCH(R$8,datasets!$E$4:$G$4,0)),"")</f>
        <v>29531.599999999999</v>
      </c>
      <c r="S18" s="57">
        <f>IF($N18&lt;&gt;"",INDEX(datasets!$E$9:$G$51,MATCH($N18,datasets!$A$9:$A$51,0),MATCH(S$8,datasets!$E$4:$G$4,0)),"")</f>
        <v>786.8</v>
      </c>
      <c r="T18" s="57">
        <f>IF($N18&lt;&gt;"",INDEX(datasets!$E$9:$G$51,MATCH($N18,datasets!$A$9:$A$51,0),MATCH(T$8,datasets!$E$4:$G$4,0)),"")</f>
        <v>13941.199999999999</v>
      </c>
      <c r="U18" s="57">
        <f>IF($N18&lt;&gt;"",INDEX(datasets!$H$9:$J$51,MATCH($N18,datasets!$A$9:$A$51,0),MATCH(U$8,datasets!$H$4:$J$4,0)),"")</f>
        <v>30237.199999999997</v>
      </c>
      <c r="V18" s="57">
        <f>IF($N18&lt;&gt;"",INDEX(datasets!$H$9:$J$51,MATCH($N18,datasets!$A$9:$A$51,0),MATCH(V$8,datasets!$H$4:$J$4,0)),"")</f>
        <v>932.4</v>
      </c>
      <c r="W18" s="57">
        <f>IF($N18&lt;&gt;"",INDEX(datasets!$H$9:$J$51,MATCH($N18,datasets!$A$9:$A$51,0),MATCH(W$8,datasets!$H$4:$J$4,0)),"")</f>
        <v>13381.199999999999</v>
      </c>
      <c r="X18" s="42">
        <f>IF($N18&lt;&gt;"",(O18-R18)/R18,"")</f>
        <v>2.9392244240068269E-2</v>
      </c>
      <c r="Y18" s="42">
        <f t="shared" si="3"/>
        <v>0</v>
      </c>
      <c r="Z18" s="42">
        <f t="shared" si="6"/>
        <v>-0.11709178549909618</v>
      </c>
      <c r="AA18" s="42">
        <f t="shared" si="7"/>
        <v>5.3708676729327274E-3</v>
      </c>
      <c r="AB18" s="42">
        <f t="shared" si="8"/>
        <v>-0.15615615615615619</v>
      </c>
      <c r="AC18" s="42">
        <f t="shared" si="9"/>
        <v>-8.014228918183719E-2</v>
      </c>
      <c r="AF18" t="str">
        <f t="shared" si="10"/>
        <v>Misty Wash</v>
      </c>
      <c r="AG18" s="44">
        <f t="shared" si="11"/>
        <v>-0.1561561561381562</v>
      </c>
      <c r="AH18" s="39"/>
      <c r="AI18" t="str">
        <f>INDEX($N$15:$N$34,MATCH(CHOOSE($D$7,LARGE($AG$15:$AG$34,ROWS($AA$15:AA18)),SMALL($AG$15:$AG$34,ROWS($AA$15:AA18))),$AG$15:$AG$34,0))</f>
        <v>Accord</v>
      </c>
      <c r="AJ18" s="57">
        <f t="shared" si="12"/>
        <v>800</v>
      </c>
      <c r="AK18" s="57">
        <f t="shared" si="13"/>
        <v>572</v>
      </c>
      <c r="AL18" s="57">
        <f t="shared" si="14"/>
        <v>800</v>
      </c>
      <c r="AM18" t="str">
        <f t="shared" si="15"/>
        <v>40% | $800</v>
      </c>
      <c r="AS18" t="s">
        <v>36</v>
      </c>
      <c r="AT18" s="57">
        <f>INDEX(datasets!$K$9:$V$51,MATCH(calculation!$AS$12,datasets!$A$9:$A$51,0),MATCH(calculation!AT$14&amp;calculation!$AS18&amp;calculation!AT$15,INDEX(datasets!$K$5:$V$5&amp;datasets!$K$6:$V$6&amp;datasets!$K$7:$V$7,),0))</f>
        <v>100</v>
      </c>
      <c r="AU18" s="57">
        <f>INDEX(datasets!$W$9:$AH$51,MATCH(calculation!$AS$12,datasets!$A$9:$A$51,0),MATCH(calculation!AU$14&amp;calculation!$AS18&amp;calculation!AU$15,INDEX(datasets!$W$5:$AH$5&amp;datasets!$W$6:$AH$6&amp;datasets!$W$7:$AH$7,),0))</f>
        <v>35</v>
      </c>
      <c r="AV18" s="57">
        <f>INDEX(datasets!$AI$9:$AT$51,MATCH(calculation!$AS$12,datasets!$A$9:$A$51,0),MATCH(calculation!AV$14&amp;calculation!$AS18&amp;calculation!AV$15,INDEX(datasets!$AI$5:$AT$5&amp;datasets!$AI$6:$AT$6&amp;datasets!$AI$7:$AT$7,),0))</f>
        <v>44</v>
      </c>
      <c r="AW18" s="57">
        <f t="shared" si="16"/>
        <v>100</v>
      </c>
      <c r="AX18" s="57">
        <f t="shared" si="17"/>
        <v>35</v>
      </c>
      <c r="AY18" s="57">
        <f t="shared" si="18"/>
        <v>44</v>
      </c>
      <c r="AZ18" s="57" t="e">
        <f>IF(AS18=CM,AT18,NA())</f>
        <v>#N/A</v>
      </c>
    </row>
    <row r="19" spans="2:52" x14ac:dyDescent="0.25">
      <c r="B19" t="s">
        <v>38</v>
      </c>
      <c r="G19" t="s">
        <v>54</v>
      </c>
      <c r="H19" t="s">
        <v>70</v>
      </c>
      <c r="I19" t="s">
        <v>83</v>
      </c>
      <c r="M19">
        <f>IF(N19&lt;&gt;"",ROWS($N$15:N19),"")</f>
        <v>5</v>
      </c>
      <c r="N19" t="str">
        <f t="shared" si="5"/>
        <v>Twenty20</v>
      </c>
      <c r="O19" s="57">
        <f>IF($N19&lt;&gt;"",INDEX(datasets!$B$9:$D$51,MATCH($N19,datasets!$A$9:$A$51,0),MATCH(O$8,datasets!$B$4:$D$4,0)),"")</f>
        <v>20400</v>
      </c>
      <c r="P19" s="57">
        <f>IF($N19&lt;&gt;"",INDEX(datasets!$B$9:$D$51,MATCH($N19,datasets!$A$9:$A$51,0),MATCH(P$8,datasets!$B$4:$D$4,0)),"")</f>
        <v>614.40000000000009</v>
      </c>
      <c r="Q19" s="57">
        <f>IF($N19&lt;&gt;"",INDEX(datasets!$B$9:$D$51,MATCH($N19,datasets!$A$9:$A$51,0),MATCH(Q$8,datasets!$B$4:$D$4,0)),"")</f>
        <v>15171.2</v>
      </c>
      <c r="R19" s="57">
        <f>IF($N19&lt;&gt;"",INDEX(datasets!$E$9:$G$51,MATCH($N19,datasets!$A$9:$A$51,0),MATCH(R$8,datasets!$E$4:$G$4,0)),"")</f>
        <v>22224</v>
      </c>
      <c r="S19" s="57">
        <f>IF($N19&lt;&gt;"",INDEX(datasets!$E$9:$G$51,MATCH($N19,datasets!$A$9:$A$51,0),MATCH(S$8,datasets!$E$4:$G$4,0)),"")</f>
        <v>988.80000000000007</v>
      </c>
      <c r="T19" s="57">
        <f>IF($N19&lt;&gt;"",INDEX(datasets!$E$9:$G$51,MATCH($N19,datasets!$A$9:$A$51,0),MATCH(T$8,datasets!$E$4:$G$4,0)),"")</f>
        <v>16019.2</v>
      </c>
      <c r="U19" s="57">
        <f>IF($N19&lt;&gt;"",INDEX(datasets!$H$9:$J$51,MATCH($N19,datasets!$A$9:$A$51,0),MATCH(U$8,datasets!$H$4:$J$4,0)),"")</f>
        <v>18476.8</v>
      </c>
      <c r="V19" s="57">
        <f>IF($N19&lt;&gt;"",INDEX(datasets!$H$9:$J$51,MATCH($N19,datasets!$A$9:$A$51,0),MATCH(V$8,datasets!$H$4:$J$4,0)),"")</f>
        <v>1120</v>
      </c>
      <c r="W19" s="57">
        <f>IF($N19&lt;&gt;"",INDEX(datasets!$H$9:$J$51,MATCH($N19,datasets!$A$9:$A$51,0),MATCH(W$8,datasets!$H$4:$J$4,0)),"")</f>
        <v>14230.400000000001</v>
      </c>
      <c r="X19" s="42">
        <f t="shared" si="2"/>
        <v>-8.2073434125269976E-2</v>
      </c>
      <c r="Y19" s="42">
        <f t="shared" si="3"/>
        <v>-0.37864077669902907</v>
      </c>
      <c r="Z19" s="42">
        <f t="shared" si="6"/>
        <v>-5.2936476228525764E-2</v>
      </c>
      <c r="AA19" s="42">
        <f t="shared" si="7"/>
        <v>0.10408728784205061</v>
      </c>
      <c r="AB19" s="42">
        <f t="shared" si="8"/>
        <v>-0.45142857142857135</v>
      </c>
      <c r="AC19" s="42">
        <f t="shared" si="9"/>
        <v>6.6111985608275178E-2</v>
      </c>
      <c r="AF19" t="str">
        <f t="shared" si="10"/>
        <v>Twenty20</v>
      </c>
      <c r="AG19" s="44">
        <f t="shared" si="11"/>
        <v>-0.45142857140957132</v>
      </c>
      <c r="AH19" s="39"/>
      <c r="AI19" t="str">
        <f>INDEX($N$15:$N$34,MATCH(CHOOSE($D$7,LARGE($AG$15:$AG$34,ROWS($AA$15:AA19)),SMALL($AG$15:$AG$34,ROWS($AA$15:AA19))),$AG$15:$AG$34,0))</f>
        <v>Minor Liar</v>
      </c>
      <c r="AJ19" s="57">
        <f t="shared" si="12"/>
        <v>1012.0000000000001</v>
      </c>
      <c r="AK19" s="57">
        <f t="shared" si="13"/>
        <v>723.80000000000007</v>
      </c>
      <c r="AL19" s="57">
        <f t="shared" si="14"/>
        <v>1012.0000000000001</v>
      </c>
      <c r="AM19" t="str">
        <f t="shared" si="15"/>
        <v>40% | $1.012</v>
      </c>
      <c r="AS19" t="s">
        <v>37</v>
      </c>
      <c r="AT19" s="57">
        <f>INDEX(datasets!$K$9:$V$51,MATCH(calculation!$AS$12,datasets!$A$9:$A$51,0),MATCH(calculation!AT$14&amp;calculation!$AS19&amp;calculation!AT$15,INDEX(datasets!$K$5:$V$5&amp;datasets!$K$6:$V$6&amp;datasets!$K$7:$V$7,),0))</f>
        <v>143</v>
      </c>
      <c r="AU19" s="57">
        <f>INDEX(datasets!$W$9:$AH$51,MATCH(calculation!$AS$12,datasets!$A$9:$A$51,0),MATCH(calculation!AU$14&amp;calculation!$AS19&amp;calculation!AU$15,INDEX(datasets!$W$5:$AH$5&amp;datasets!$W$6:$AH$6&amp;datasets!$W$7:$AH$7,),0))</f>
        <v>68</v>
      </c>
      <c r="AV19" s="57">
        <f>INDEX(datasets!$AI$9:$AT$51,MATCH(calculation!$AS$12,datasets!$A$9:$A$51,0),MATCH(calculation!AV$14&amp;calculation!$AS19&amp;calculation!AV$15,INDEX(datasets!$AI$5:$AT$5&amp;datasets!$AI$6:$AT$6&amp;datasets!$AI$7:$AT$7,),0))</f>
        <v>94</v>
      </c>
      <c r="AW19" s="57">
        <f t="shared" si="16"/>
        <v>143</v>
      </c>
      <c r="AX19" s="57">
        <f t="shared" si="17"/>
        <v>68</v>
      </c>
      <c r="AY19" s="57">
        <f t="shared" si="18"/>
        <v>94</v>
      </c>
      <c r="AZ19" s="57" t="e">
        <f>IF(AS19=CM,AT19,NA())</f>
        <v>#N/A</v>
      </c>
    </row>
    <row r="20" spans="2:52" x14ac:dyDescent="0.25">
      <c r="B20" t="s">
        <v>39</v>
      </c>
      <c r="G20" t="s">
        <v>55</v>
      </c>
      <c r="H20" t="s">
        <v>71</v>
      </c>
      <c r="I20" t="s">
        <v>84</v>
      </c>
      <c r="M20">
        <f>IF(N20&lt;&gt;"",ROWS($N$15:N20),"")</f>
        <v>6</v>
      </c>
      <c r="N20" t="str">
        <f t="shared" si="5"/>
        <v>Tanox</v>
      </c>
      <c r="O20" s="57">
        <f>IF($N20&lt;&gt;"",INDEX(datasets!$B$9:$D$51,MATCH($N20,datasets!$A$9:$A$51,0),MATCH(O$8,datasets!$B$4:$D$4,0)),"")</f>
        <v>21088</v>
      </c>
      <c r="P20" s="57">
        <f>IF($N20&lt;&gt;"",INDEX(datasets!$B$9:$D$51,MATCH($N20,datasets!$A$9:$A$51,0),MATCH(P$8,datasets!$B$4:$D$4,0)),"")</f>
        <v>1264</v>
      </c>
      <c r="Q20" s="57">
        <f>IF($N20&lt;&gt;"",INDEX(datasets!$B$9:$D$51,MATCH($N20,datasets!$A$9:$A$51,0),MATCH(Q$8,datasets!$B$4:$D$4,0)),"")</f>
        <v>4828</v>
      </c>
      <c r="R20" s="57">
        <f>IF($N20&lt;&gt;"",INDEX(datasets!$E$9:$G$51,MATCH($N20,datasets!$A$9:$A$51,0),MATCH(R$8,datasets!$E$4:$G$4,0)),"")</f>
        <v>19736</v>
      </c>
      <c r="S20" s="57">
        <f>IF($N20&lt;&gt;"",INDEX(datasets!$E$9:$G$51,MATCH($N20,datasets!$A$9:$A$51,0),MATCH(S$8,datasets!$E$4:$G$4,0)),"")</f>
        <v>932</v>
      </c>
      <c r="T20" s="57">
        <f>IF($N20&lt;&gt;"",INDEX(datasets!$E$9:$G$51,MATCH($N20,datasets!$A$9:$A$51,0),MATCH(T$8,datasets!$E$4:$G$4,0)),"")</f>
        <v>5940</v>
      </c>
      <c r="U20" s="57">
        <f>IF($N20&lt;&gt;"",INDEX(datasets!$H$9:$J$51,MATCH($N20,datasets!$A$9:$A$51,0),MATCH(U$8,datasets!$H$4:$J$4,0)),"")</f>
        <v>19156</v>
      </c>
      <c r="V20" s="57">
        <f>IF($N20&lt;&gt;"",INDEX(datasets!$H$9:$J$51,MATCH($N20,datasets!$A$9:$A$51,0),MATCH(V$8,datasets!$H$4:$J$4,0)),"")</f>
        <v>860</v>
      </c>
      <c r="W20" s="57">
        <f>IF($N20&lt;&gt;"",INDEX(datasets!$H$9:$J$51,MATCH($N20,datasets!$A$9:$A$51,0),MATCH(W$8,datasets!$H$4:$J$4,0)),"")</f>
        <v>7744</v>
      </c>
      <c r="X20" s="42">
        <f t="shared" si="2"/>
        <v>6.8504256181597084E-2</v>
      </c>
      <c r="Y20" s="42">
        <f t="shared" si="3"/>
        <v>0.35622317596566522</v>
      </c>
      <c r="Z20" s="42">
        <f t="shared" si="6"/>
        <v>-0.18720538720538721</v>
      </c>
      <c r="AA20" s="42">
        <f t="shared" si="7"/>
        <v>0.10085612862810607</v>
      </c>
      <c r="AB20" s="42">
        <f t="shared" si="8"/>
        <v>0.4697674418604651</v>
      </c>
      <c r="AC20" s="42">
        <f t="shared" si="9"/>
        <v>-0.37654958677685951</v>
      </c>
      <c r="AF20" t="str">
        <f t="shared" si="10"/>
        <v>Tanox</v>
      </c>
      <c r="AG20" s="44">
        <f t="shared" si="11"/>
        <v>0.4697674418804651</v>
      </c>
      <c r="AH20" s="39"/>
      <c r="AI20" t="str">
        <f>INDEX($N$15:$N$34,MATCH(CHOOSE($D$7,LARGE($AG$15:$AG$34,ROWS($AA$15:AA20)),SMALL($AG$15:$AG$34,ROWS($AA$15:AA20))),$AG$15:$AG$34,0))</f>
        <v>Commuta</v>
      </c>
      <c r="AJ20" s="57">
        <f t="shared" si="12"/>
        <v>762</v>
      </c>
      <c r="AK20" s="57">
        <f t="shared" si="13"/>
        <v>568</v>
      </c>
      <c r="AL20" s="57">
        <f t="shared" si="14"/>
        <v>762</v>
      </c>
      <c r="AM20" t="str">
        <f t="shared" si="15"/>
        <v>34% | $762</v>
      </c>
      <c r="AS20" t="s">
        <v>38</v>
      </c>
      <c r="AT20" s="57">
        <f>INDEX(datasets!$K$9:$V$51,MATCH(calculation!$AS$12,datasets!$A$9:$A$51,0),MATCH(calculation!AT$14&amp;calculation!$AS20&amp;calculation!AT$15,INDEX(datasets!$K$5:$V$5&amp;datasets!$K$6:$V$6&amp;datasets!$K$7:$V$7,),0))</f>
        <v>205</v>
      </c>
      <c r="AU20" s="57">
        <f>INDEX(datasets!$W$9:$AH$51,MATCH(calculation!$AS$12,datasets!$A$9:$A$51,0),MATCH(calculation!AU$14&amp;calculation!$AS20&amp;calculation!AU$15,INDEX(datasets!$W$5:$AH$5&amp;datasets!$W$6:$AH$6&amp;datasets!$W$7:$AH$7,),0))</f>
        <v>78</v>
      </c>
      <c r="AV20" s="57">
        <f>INDEX(datasets!$AI$9:$AT$51,MATCH(calculation!$AS$12,datasets!$A$9:$A$51,0),MATCH(calculation!AV$14&amp;calculation!$AS20&amp;calculation!AV$15,INDEX(datasets!$AI$5:$AT$5&amp;datasets!$AI$6:$AT$6&amp;datasets!$AI$7:$AT$7,),0))</f>
        <v>143</v>
      </c>
      <c r="AW20" s="57">
        <f t="shared" si="16"/>
        <v>205</v>
      </c>
      <c r="AX20" s="57">
        <f t="shared" si="17"/>
        <v>78</v>
      </c>
      <c r="AY20" s="57">
        <f t="shared" si="18"/>
        <v>143</v>
      </c>
      <c r="AZ20" s="57" t="e">
        <f>IF(AS20=CM,AT20,NA())</f>
        <v>#N/A</v>
      </c>
    </row>
    <row r="21" spans="2:52" x14ac:dyDescent="0.25">
      <c r="B21" t="s">
        <v>40</v>
      </c>
      <c r="G21" t="s">
        <v>56</v>
      </c>
      <c r="H21" t="s">
        <v>72</v>
      </c>
      <c r="I21" t="s">
        <v>85</v>
      </c>
      <c r="M21">
        <f>IF(N21&lt;&gt;"",ROWS($N$15:N21),"")</f>
        <v>7</v>
      </c>
      <c r="N21" t="str">
        <f t="shared" si="5"/>
        <v>Minor Liar</v>
      </c>
      <c r="O21" s="57">
        <f>IF($N21&lt;&gt;"",INDEX(datasets!$B$9:$D$51,MATCH($N21,datasets!$A$9:$A$51,0),MATCH(O$8,datasets!$B$4:$D$4,0)),"")</f>
        <v>23736.9</v>
      </c>
      <c r="P21" s="57">
        <f>IF($N21&lt;&gt;"",INDEX(datasets!$B$9:$D$51,MATCH($N21,datasets!$A$9:$A$51,0),MATCH(P$8,datasets!$B$4:$D$4,0)),"")</f>
        <v>1012.0000000000001</v>
      </c>
      <c r="Q21" s="57">
        <f>IF($N21&lt;&gt;"",INDEX(datasets!$B$9:$D$51,MATCH($N21,datasets!$A$9:$A$51,0),MATCH(Q$8,datasets!$B$4:$D$4,0)),"")</f>
        <v>8207.1</v>
      </c>
      <c r="R21" s="57">
        <f>IF($N21&lt;&gt;"",INDEX(datasets!$E$9:$G$51,MATCH($N21,datasets!$A$9:$A$51,0),MATCH(R$8,datasets!$E$4:$G$4,0)),"")</f>
        <v>22754.600000000002</v>
      </c>
      <c r="S21" s="57">
        <f>IF($N21&lt;&gt;"",INDEX(datasets!$E$9:$G$51,MATCH($N21,datasets!$A$9:$A$51,0),MATCH(S$8,datasets!$E$4:$G$4,0)),"")</f>
        <v>718.30000000000007</v>
      </c>
      <c r="T21" s="57">
        <f>IF($N21&lt;&gt;"",INDEX(datasets!$E$9:$G$51,MATCH($N21,datasets!$A$9:$A$51,0),MATCH(T$8,datasets!$E$4:$G$4,0)),"")</f>
        <v>9447.9000000000015</v>
      </c>
      <c r="U21" s="57">
        <f>IF($N21&lt;&gt;"",INDEX(datasets!$H$9:$J$51,MATCH($N21,datasets!$A$9:$A$51,0),MATCH(U$8,datasets!$H$4:$J$4,0)),"")</f>
        <v>22525.800000000003</v>
      </c>
      <c r="V21" s="57">
        <f>IF($N21&lt;&gt;"",INDEX(datasets!$H$9:$J$51,MATCH($N21,datasets!$A$9:$A$51,0),MATCH(V$8,datasets!$H$4:$J$4,0)),"")</f>
        <v>723.80000000000007</v>
      </c>
      <c r="W21" s="57">
        <f>IF($N21&lt;&gt;"",INDEX(datasets!$H$9:$J$51,MATCH($N21,datasets!$A$9:$A$51,0),MATCH(W$8,datasets!$H$4:$J$4,0)),"")</f>
        <v>8362.2000000000007</v>
      </c>
      <c r="X21" s="42">
        <f t="shared" si="2"/>
        <v>4.3169293241806017E-2</v>
      </c>
      <c r="Y21" s="42">
        <f t="shared" si="3"/>
        <v>0.40888208269525272</v>
      </c>
      <c r="Z21" s="42">
        <f t="shared" si="6"/>
        <v>-0.13133077191756909</v>
      </c>
      <c r="AA21" s="42">
        <f t="shared" si="7"/>
        <v>5.3765016114854895E-2</v>
      </c>
      <c r="AB21" s="42">
        <f t="shared" si="8"/>
        <v>0.3981762917933131</v>
      </c>
      <c r="AC21" s="42">
        <f t="shared" si="9"/>
        <v>-1.8547750591949529E-2</v>
      </c>
      <c r="AF21" t="str">
        <f t="shared" si="10"/>
        <v>Minor Liar</v>
      </c>
      <c r="AG21" s="44">
        <f t="shared" si="11"/>
        <v>0.39817629181431308</v>
      </c>
      <c r="AH21" s="39"/>
      <c r="AS21" t="s">
        <v>39</v>
      </c>
      <c r="AT21" s="57">
        <f>INDEX(datasets!$K$9:$V$51,MATCH(calculation!$AS$12,datasets!$A$9:$A$51,0),MATCH(calculation!AT$14&amp;calculation!$AS21&amp;calculation!AT$15,INDEX(datasets!$K$5:$V$5&amp;datasets!$K$6:$V$6&amp;datasets!$K$7:$V$7,),0))</f>
        <v>240</v>
      </c>
      <c r="AU21" s="57">
        <f>INDEX(datasets!$W$9:$AH$51,MATCH(calculation!$AS$12,datasets!$A$9:$A$51,0),MATCH(calculation!AU$14&amp;calculation!$AS21&amp;calculation!AU$15,INDEX(datasets!$W$5:$AH$5&amp;datasets!$W$6:$AH$6&amp;datasets!$W$7:$AH$7,),0))</f>
        <v>80</v>
      </c>
      <c r="AV21" s="57">
        <f>INDEX(datasets!$AI$9:$AT$51,MATCH(calculation!$AS$12,datasets!$A$9:$A$51,0),MATCH(calculation!AV$14&amp;calculation!$AS21&amp;calculation!AV$15,INDEX(datasets!$AI$5:$AT$5&amp;datasets!$AI$6:$AT$6&amp;datasets!$AI$7:$AT$7,),0))</f>
        <v>156</v>
      </c>
      <c r="AW21" s="57">
        <f t="shared" si="16"/>
        <v>240</v>
      </c>
      <c r="AX21" s="57">
        <f t="shared" si="17"/>
        <v>80</v>
      </c>
      <c r="AY21" s="57">
        <f t="shared" si="18"/>
        <v>156</v>
      </c>
      <c r="AZ21" s="57">
        <f>IF(AS21=CM,AT21,NA())</f>
        <v>240</v>
      </c>
    </row>
    <row r="22" spans="2:52" x14ac:dyDescent="0.25">
      <c r="B22" t="s">
        <v>41</v>
      </c>
      <c r="G22" t="s">
        <v>57</v>
      </c>
      <c r="H22" t="s">
        <v>73</v>
      </c>
      <c r="I22" t="s">
        <v>86</v>
      </c>
      <c r="M22">
        <f>IF(N22&lt;&gt;"",ROWS($N$15:N22),"")</f>
        <v>8</v>
      </c>
      <c r="N22" t="str">
        <f t="shared" si="5"/>
        <v>Mosquit</v>
      </c>
      <c r="O22" s="57">
        <f>IF($N22&lt;&gt;"",INDEX(datasets!$B$9:$D$51,MATCH($N22,datasets!$A$9:$A$51,0),MATCH(O$8,datasets!$B$4:$D$4,0)),"")</f>
        <v>6302</v>
      </c>
      <c r="P22" s="57">
        <f>IF($N22&lt;&gt;"",INDEX(datasets!$B$9:$D$51,MATCH($N22,datasets!$A$9:$A$51,0),MATCH(P$8,datasets!$B$4:$D$4,0)),"")</f>
        <v>240</v>
      </c>
      <c r="Q22" s="57">
        <f>IF($N22&lt;&gt;"",INDEX(datasets!$B$9:$D$51,MATCH($N22,datasets!$A$9:$A$51,0),MATCH(Q$8,datasets!$B$4:$D$4,0)),"")</f>
        <v>4655</v>
      </c>
      <c r="R22" s="57">
        <f>IF($N22&lt;&gt;"",INDEX(datasets!$E$9:$G$51,MATCH($N22,datasets!$A$9:$A$51,0),MATCH(R$8,datasets!$E$4:$G$4,0)),"")</f>
        <v>5400</v>
      </c>
      <c r="S22" s="57">
        <f>IF($N22&lt;&gt;"",INDEX(datasets!$E$9:$G$51,MATCH($N22,datasets!$A$9:$A$51,0),MATCH(S$8,datasets!$E$4:$G$4,0)),"")</f>
        <v>190</v>
      </c>
      <c r="T22" s="57">
        <f>IF($N22&lt;&gt;"",INDEX(datasets!$E$9:$G$51,MATCH($N22,datasets!$A$9:$A$51,0),MATCH(T$8,datasets!$E$4:$G$4,0)),"")</f>
        <v>4096</v>
      </c>
      <c r="U22" s="57">
        <f>IF($N22&lt;&gt;"",INDEX(datasets!$H$9:$J$51,MATCH($N22,datasets!$A$9:$A$51,0),MATCH(U$8,datasets!$H$4:$J$4,0)),"")</f>
        <v>5293</v>
      </c>
      <c r="V22" s="57">
        <f>IF($N22&lt;&gt;"",INDEX(datasets!$H$9:$J$51,MATCH($N22,datasets!$A$9:$A$51,0),MATCH(V$8,datasets!$H$4:$J$4,0)),"")</f>
        <v>156</v>
      </c>
      <c r="W22" s="57">
        <f>IF($N22&lt;&gt;"",INDEX(datasets!$H$9:$J$51,MATCH($N22,datasets!$A$9:$A$51,0),MATCH(W$8,datasets!$H$4:$J$4,0)),"")</f>
        <v>4514</v>
      </c>
      <c r="X22" s="42">
        <f t="shared" si="2"/>
        <v>0.16703703703703704</v>
      </c>
      <c r="Y22" s="42">
        <f t="shared" si="3"/>
        <v>0.26315789473684209</v>
      </c>
      <c r="Z22" s="42">
        <f t="shared" si="6"/>
        <v>0.136474609375</v>
      </c>
      <c r="AA22" s="42">
        <f t="shared" si="7"/>
        <v>0.19062913281692803</v>
      </c>
      <c r="AB22" s="42">
        <f t="shared" si="8"/>
        <v>0.53846153846153844</v>
      </c>
      <c r="AC22" s="42">
        <f t="shared" si="9"/>
        <v>3.1236154186973859E-2</v>
      </c>
      <c r="AF22" t="str">
        <f t="shared" si="10"/>
        <v>Mosquit</v>
      </c>
      <c r="AG22" s="44">
        <f t="shared" si="11"/>
        <v>0.53846153848353839</v>
      </c>
      <c r="AH22" s="39"/>
      <c r="AS22" t="s">
        <v>40</v>
      </c>
      <c r="AT22" s="57">
        <f>INDEX(datasets!$K$9:$V$51,MATCH(calculation!$AS$12,datasets!$A$9:$A$51,0),MATCH(calculation!AT$14&amp;calculation!$AS22&amp;calculation!AT$15,INDEX(datasets!$K$5:$V$5&amp;datasets!$K$6:$V$6&amp;datasets!$K$7:$V$7,),0))</f>
        <v>0</v>
      </c>
      <c r="AU22" s="57">
        <f>INDEX(datasets!$W$9:$AH$51,MATCH(calculation!$AS$12,datasets!$A$9:$A$51,0),MATCH(calculation!AU$14&amp;calculation!$AS22&amp;calculation!AU$15,INDEX(datasets!$W$5:$AH$5&amp;datasets!$W$6:$AH$6&amp;datasets!$W$7:$AH$7,),0))</f>
        <v>98</v>
      </c>
      <c r="AV22" s="57">
        <f>INDEX(datasets!$AI$9:$AT$51,MATCH(calculation!$AS$12,datasets!$A$9:$A$51,0),MATCH(calculation!AV$14&amp;calculation!$AS22&amp;calculation!AV$15,INDEX(datasets!$AI$5:$AT$5&amp;datasets!$AI$6:$AT$6&amp;datasets!$AI$7:$AT$7,),0))</f>
        <v>197</v>
      </c>
      <c r="AW22" s="57" t="e">
        <f t="shared" si="16"/>
        <v>#N/A</v>
      </c>
      <c r="AX22" s="57">
        <f t="shared" si="17"/>
        <v>98</v>
      </c>
      <c r="AY22" s="57">
        <f t="shared" si="18"/>
        <v>197</v>
      </c>
      <c r="AZ22" s="57" t="e">
        <f>IF(AS22=CM,AT22,NA())</f>
        <v>#N/A</v>
      </c>
    </row>
    <row r="23" spans="2:52" x14ac:dyDescent="0.25">
      <c r="B23" t="s">
        <v>42</v>
      </c>
      <c r="G23" t="s">
        <v>58</v>
      </c>
      <c r="H23" t="s">
        <v>74</v>
      </c>
      <c r="I23" t="s">
        <v>87</v>
      </c>
      <c r="M23">
        <f>IF(N23&lt;&gt;"",ROWS($N$15:N23),"")</f>
        <v>9</v>
      </c>
      <c r="N23" t="str">
        <f t="shared" si="5"/>
        <v>Atmos</v>
      </c>
      <c r="O23" s="57">
        <f>IF($N23&lt;&gt;"",INDEX(datasets!$B$9:$D$51,MATCH($N23,datasets!$A$9:$A$51,0),MATCH(O$8,datasets!$B$4:$D$4,0)),"")</f>
        <v>10675</v>
      </c>
      <c r="P23" s="57">
        <f>IF($N23&lt;&gt;"",INDEX(datasets!$B$9:$D$51,MATCH($N23,datasets!$A$9:$A$51,0),MATCH(P$8,datasets!$B$4:$D$4,0)),"")</f>
        <v>128</v>
      </c>
      <c r="Q23" s="57">
        <f>IF($N23&lt;&gt;"",INDEX(datasets!$B$9:$D$51,MATCH($N23,datasets!$A$9:$A$51,0),MATCH(Q$8,datasets!$B$4:$D$4,0)),"")</f>
        <v>8210</v>
      </c>
      <c r="R23" s="57">
        <f>IF($N23&lt;&gt;"",INDEX(datasets!$E$9:$G$51,MATCH($N23,datasets!$A$9:$A$51,0),MATCH(R$8,datasets!$E$4:$G$4,0)),"")</f>
        <v>10133</v>
      </c>
      <c r="S23" s="57">
        <f>IF($N23&lt;&gt;"",INDEX(datasets!$E$9:$G$51,MATCH($N23,datasets!$A$9:$A$51,0),MATCH(S$8,datasets!$E$4:$G$4,0)),"")</f>
        <v>89</v>
      </c>
      <c r="T23" s="57">
        <f>IF($N23&lt;&gt;"",INDEX(datasets!$E$9:$G$51,MATCH($N23,datasets!$A$9:$A$51,0),MATCH(T$8,datasets!$E$4:$G$4,0)),"")</f>
        <v>8179</v>
      </c>
      <c r="U23" s="57">
        <f>IF($N23&lt;&gt;"",INDEX(datasets!$H$9:$J$51,MATCH($N23,datasets!$A$9:$A$51,0),MATCH(U$8,datasets!$H$4:$J$4,0)),"")</f>
        <v>11178</v>
      </c>
      <c r="V23" s="57">
        <f>IF($N23&lt;&gt;"",INDEX(datasets!$H$9:$J$51,MATCH($N23,datasets!$A$9:$A$51,0),MATCH(V$8,datasets!$H$4:$J$4,0)),"")</f>
        <v>190</v>
      </c>
      <c r="W23" s="57">
        <f>IF($N23&lt;&gt;"",INDEX(datasets!$H$9:$J$51,MATCH($N23,datasets!$A$9:$A$51,0),MATCH(W$8,datasets!$H$4:$J$4,0)),"")</f>
        <v>8010</v>
      </c>
      <c r="X23" s="42">
        <f t="shared" si="2"/>
        <v>5.34886015987368E-2</v>
      </c>
      <c r="Y23" s="42">
        <f t="shared" si="3"/>
        <v>0.43820224719101125</v>
      </c>
      <c r="Z23" s="42">
        <f t="shared" si="6"/>
        <v>3.7901944002934345E-3</v>
      </c>
      <c r="AA23" s="42">
        <f t="shared" si="7"/>
        <v>-4.4999105385578816E-2</v>
      </c>
      <c r="AB23" s="42">
        <f t="shared" si="8"/>
        <v>-0.32631578947368423</v>
      </c>
      <c r="AC23" s="42">
        <f t="shared" si="9"/>
        <v>2.4968789013732832E-2</v>
      </c>
      <c r="AF23" t="str">
        <f t="shared" si="10"/>
        <v>Atmos</v>
      </c>
      <c r="AG23" s="44">
        <f t="shared" si="11"/>
        <v>-0.32631578945068423</v>
      </c>
      <c r="AH23" s="39"/>
      <c r="AS23" t="s">
        <v>41</v>
      </c>
      <c r="AT23" s="57">
        <f>INDEX(datasets!$K$9:$V$51,MATCH(calculation!$AS$12,datasets!$A$9:$A$51,0),MATCH(calculation!AT$14&amp;calculation!$AS23&amp;calculation!AT$15,INDEX(datasets!$K$5:$V$5&amp;datasets!$K$6:$V$6&amp;datasets!$K$7:$V$7,),0))</f>
        <v>0</v>
      </c>
      <c r="AU23" s="57">
        <f>INDEX(datasets!$W$9:$AH$51,MATCH(calculation!$AS$12,datasets!$A$9:$A$51,0),MATCH(calculation!AU$14&amp;calculation!$AS23&amp;calculation!AU$15,INDEX(datasets!$W$5:$AH$5&amp;datasets!$W$6:$AH$6&amp;datasets!$W$7:$AH$7,),0))</f>
        <v>101</v>
      </c>
      <c r="AV23" s="57">
        <f>INDEX(datasets!$AI$9:$AT$51,MATCH(calculation!$AS$12,datasets!$A$9:$A$51,0),MATCH(calculation!AV$14&amp;calculation!$AS23&amp;calculation!AV$15,INDEX(datasets!$AI$5:$AT$5&amp;datasets!$AI$6:$AT$6&amp;datasets!$AI$7:$AT$7,),0))</f>
        <v>204</v>
      </c>
      <c r="AW23" s="57" t="e">
        <f t="shared" si="16"/>
        <v>#N/A</v>
      </c>
      <c r="AX23" s="57">
        <f t="shared" si="17"/>
        <v>101</v>
      </c>
      <c r="AY23" s="57">
        <f t="shared" si="18"/>
        <v>204</v>
      </c>
      <c r="AZ23" s="57" t="e">
        <f>IF(AS23=CM,AT23,NA())</f>
        <v>#N/A</v>
      </c>
    </row>
    <row r="24" spans="2:52" x14ac:dyDescent="0.25">
      <c r="B24" t="s">
        <v>43</v>
      </c>
      <c r="G24" t="s">
        <v>59</v>
      </c>
      <c r="H24" t="s">
        <v>75</v>
      </c>
      <c r="I24" t="s">
        <v>88</v>
      </c>
      <c r="M24">
        <f>IF(N24&lt;&gt;"",ROWS($N$15:N24),"")</f>
        <v>10</v>
      </c>
      <c r="N24" t="str">
        <f t="shared" si="5"/>
        <v>Scrap</v>
      </c>
      <c r="O24" s="57">
        <f>IF($N24&lt;&gt;"",INDEX(datasets!$B$9:$D$51,MATCH($N24,datasets!$A$9:$A$51,0),MATCH(O$8,datasets!$B$4:$D$4,0)),"")</f>
        <v>13307</v>
      </c>
      <c r="P24" s="57">
        <f>IF($N24&lt;&gt;"",INDEX(datasets!$B$9:$D$51,MATCH($N24,datasets!$A$9:$A$51,0),MATCH(P$8,datasets!$B$4:$D$4,0)),"")</f>
        <v>862</v>
      </c>
      <c r="Q24" s="57">
        <f>IF($N24&lt;&gt;"",INDEX(datasets!$B$9:$D$51,MATCH($N24,datasets!$A$9:$A$51,0),MATCH(Q$8,datasets!$B$4:$D$4,0)),"")</f>
        <v>5279</v>
      </c>
      <c r="R24" s="57">
        <f>IF($N24&lt;&gt;"",INDEX(datasets!$E$9:$G$51,MATCH($N24,datasets!$A$9:$A$51,0),MATCH(R$8,datasets!$E$4:$G$4,0)),"")</f>
        <v>12127</v>
      </c>
      <c r="S24" s="57">
        <f>IF($N24&lt;&gt;"",INDEX(datasets!$E$9:$G$51,MATCH($N24,datasets!$A$9:$A$51,0),MATCH(S$8,datasets!$E$4:$G$4,0)),"")</f>
        <v>742</v>
      </c>
      <c r="T24" s="57">
        <f>IF($N24&lt;&gt;"",INDEX(datasets!$E$9:$G$51,MATCH($N24,datasets!$A$9:$A$51,0),MATCH(T$8,datasets!$E$4:$G$4,0)),"")</f>
        <v>5491</v>
      </c>
      <c r="U24" s="57">
        <f>IF($N24&lt;&gt;"",INDEX(datasets!$H$9:$J$51,MATCH($N24,datasets!$A$9:$A$51,0),MATCH(U$8,datasets!$H$4:$J$4,0)),"")</f>
        <v>13448</v>
      </c>
      <c r="V24" s="57">
        <f>IF($N24&lt;&gt;"",INDEX(datasets!$H$9:$J$51,MATCH($N24,datasets!$A$9:$A$51,0),MATCH(V$8,datasets!$H$4:$J$4,0)),"")</f>
        <v>905</v>
      </c>
      <c r="W24" s="57">
        <f>IF($N24&lt;&gt;"",INDEX(datasets!$H$9:$J$51,MATCH($N24,datasets!$A$9:$A$51,0),MATCH(W$8,datasets!$H$4:$J$4,0)),"")</f>
        <v>6062</v>
      </c>
      <c r="X24" s="42">
        <f t="shared" si="2"/>
        <v>9.730353756081471E-2</v>
      </c>
      <c r="Y24" s="42">
        <f t="shared" si="3"/>
        <v>0.16172506738544473</v>
      </c>
      <c r="Z24" s="42">
        <f t="shared" si="6"/>
        <v>-3.8608632307412127E-2</v>
      </c>
      <c r="AA24" s="42">
        <f t="shared" si="7"/>
        <v>-1.0484830458060678E-2</v>
      </c>
      <c r="AB24" s="42">
        <f t="shared" si="8"/>
        <v>-4.7513812154696133E-2</v>
      </c>
      <c r="AC24" s="42">
        <f t="shared" si="9"/>
        <v>-0.12916529198284393</v>
      </c>
      <c r="AF24" t="str">
        <f t="shared" si="10"/>
        <v>Scrap</v>
      </c>
      <c r="AG24" s="44">
        <f t="shared" si="11"/>
        <v>-4.751381213069613E-2</v>
      </c>
      <c r="AH24" s="39"/>
      <c r="AS24" t="s">
        <v>42</v>
      </c>
      <c r="AT24" s="57">
        <f>INDEX(datasets!$K$9:$V$51,MATCH(calculation!$AS$12,datasets!$A$9:$A$51,0),MATCH(calculation!AT$14&amp;calculation!$AS24&amp;calculation!AT$15,INDEX(datasets!$K$5:$V$5&amp;datasets!$K$6:$V$6&amp;datasets!$K$7:$V$7,),0))</f>
        <v>0</v>
      </c>
      <c r="AU24" s="57">
        <f>INDEX(datasets!$W$9:$AH$51,MATCH(calculation!$AS$12,datasets!$A$9:$A$51,0),MATCH(calculation!AU$14&amp;calculation!$AS24&amp;calculation!AU$15,INDEX(datasets!$W$5:$AH$5&amp;datasets!$W$6:$AH$6&amp;datasets!$W$7:$AH$7,),0))</f>
        <v>101</v>
      </c>
      <c r="AV24" s="57">
        <f>INDEX(datasets!$AI$9:$AT$51,MATCH(calculation!$AS$12,datasets!$A$9:$A$51,0),MATCH(calculation!AV$14&amp;calculation!$AS24&amp;calculation!AV$15,INDEX(datasets!$AI$5:$AT$5&amp;datasets!$AI$6:$AT$6&amp;datasets!$AI$7:$AT$7,),0))</f>
        <v>216</v>
      </c>
      <c r="AW24" s="57" t="e">
        <f t="shared" si="16"/>
        <v>#N/A</v>
      </c>
      <c r="AX24" s="57">
        <f t="shared" si="17"/>
        <v>101</v>
      </c>
      <c r="AY24" s="57">
        <f t="shared" si="18"/>
        <v>216</v>
      </c>
      <c r="AZ24" s="57" t="e">
        <f>IF(AS24=CM,AT24,NA())</f>
        <v>#N/A</v>
      </c>
    </row>
    <row r="25" spans="2:52" x14ac:dyDescent="0.25">
      <c r="B25" t="s">
        <v>44</v>
      </c>
      <c r="G25" t="s">
        <v>60</v>
      </c>
      <c r="H25" t="s">
        <v>76</v>
      </c>
      <c r="I25" t="s">
        <v>89</v>
      </c>
      <c r="M25">
        <f>IF(N25&lt;&gt;"",ROWS($N$15:N25),"")</f>
        <v>11</v>
      </c>
      <c r="N25" t="str">
        <f t="shared" si="5"/>
        <v>Motocyco</v>
      </c>
      <c r="O25" s="57">
        <f>IF($N25&lt;&gt;"",INDEX(datasets!$B$9:$D$51,MATCH($N25,datasets!$A$9:$A$51,0),MATCH(O$8,datasets!$B$4:$D$4,0)),"")</f>
        <v>11182</v>
      </c>
      <c r="P25" s="57">
        <f>IF($N25&lt;&gt;"",INDEX(datasets!$B$9:$D$51,MATCH($N25,datasets!$A$9:$A$51,0),MATCH(P$8,datasets!$B$4:$D$4,0)),"")</f>
        <v>1193</v>
      </c>
      <c r="Q25" s="57">
        <f>IF($N25&lt;&gt;"",INDEX(datasets!$B$9:$D$51,MATCH($N25,datasets!$A$9:$A$51,0),MATCH(Q$8,datasets!$B$4:$D$4,0)),"")</f>
        <v>4311</v>
      </c>
      <c r="R25" s="57">
        <f>IF($N25&lt;&gt;"",INDEX(datasets!$E$9:$G$51,MATCH($N25,datasets!$A$9:$A$51,0),MATCH(R$8,datasets!$E$4:$G$4,0)),"")</f>
        <v>10457</v>
      </c>
      <c r="S25" s="57">
        <f>IF($N25&lt;&gt;"",INDEX(datasets!$E$9:$G$51,MATCH($N25,datasets!$A$9:$A$51,0),MATCH(S$8,datasets!$E$4:$G$4,0)),"")</f>
        <v>890</v>
      </c>
      <c r="T25" s="57">
        <f>IF($N25&lt;&gt;"",INDEX(datasets!$E$9:$G$51,MATCH($N25,datasets!$A$9:$A$51,0),MATCH(T$8,datasets!$E$4:$G$4,0)),"")</f>
        <v>4595</v>
      </c>
      <c r="U25" s="57">
        <f>IF($N25&lt;&gt;"",INDEX(datasets!$H$9:$J$51,MATCH($N25,datasets!$A$9:$A$51,0),MATCH(U$8,datasets!$H$4:$J$4,0)),"")</f>
        <v>9952</v>
      </c>
      <c r="V25" s="57">
        <f>IF($N25&lt;&gt;"",INDEX(datasets!$H$9:$J$51,MATCH($N25,datasets!$A$9:$A$51,0),MATCH(V$8,datasets!$H$4:$J$4,0)),"")</f>
        <v>810</v>
      </c>
      <c r="W25" s="57">
        <f>IF($N25&lt;&gt;"",INDEX(datasets!$H$9:$J$51,MATCH($N25,datasets!$A$9:$A$51,0),MATCH(W$8,datasets!$H$4:$J$4,0)),"")</f>
        <v>4298</v>
      </c>
      <c r="X25" s="42">
        <f t="shared" si="2"/>
        <v>6.9331548245194607E-2</v>
      </c>
      <c r="Y25" s="42">
        <f t="shared" si="3"/>
        <v>0.34044943820224721</v>
      </c>
      <c r="Z25" s="42">
        <f t="shared" si="6"/>
        <v>-6.1806311207834599E-2</v>
      </c>
      <c r="AA25" s="42">
        <f t="shared" si="7"/>
        <v>0.12359324758842444</v>
      </c>
      <c r="AB25" s="42">
        <f t="shared" si="8"/>
        <v>0.47283950617283949</v>
      </c>
      <c r="AC25" s="42">
        <f t="shared" si="9"/>
        <v>3.0246626337831549E-3</v>
      </c>
      <c r="AF25" t="str">
        <f t="shared" si="10"/>
        <v>Motocyco</v>
      </c>
      <c r="AG25" s="44">
        <f t="shared" si="11"/>
        <v>0.47283950619783949</v>
      </c>
      <c r="AH25" s="39"/>
      <c r="AS25" t="s">
        <v>43</v>
      </c>
      <c r="AT25" s="57">
        <f>INDEX(datasets!$K$9:$V$51,MATCH(calculation!$AS$12,datasets!$A$9:$A$51,0),MATCH(calculation!AT$14&amp;calculation!$AS25&amp;calculation!AT$15,INDEX(datasets!$K$5:$V$5&amp;datasets!$K$6:$V$6&amp;datasets!$K$7:$V$7,),0))</f>
        <v>0</v>
      </c>
      <c r="AU25" s="57">
        <f>INDEX(datasets!$W$9:$AH$51,MATCH(calculation!$AS$12,datasets!$A$9:$A$51,0),MATCH(calculation!AU$14&amp;calculation!$AS25&amp;calculation!AU$15,INDEX(datasets!$W$5:$AH$5&amp;datasets!$W$6:$AH$6&amp;datasets!$W$7:$AH$7,),0))</f>
        <v>110</v>
      </c>
      <c r="AV25" s="57">
        <f>INDEX(datasets!$AI$9:$AT$51,MATCH(calculation!$AS$12,datasets!$A$9:$A$51,0),MATCH(calculation!AV$14&amp;calculation!$AS25&amp;calculation!AV$15,INDEX(datasets!$AI$5:$AT$5&amp;datasets!$AI$6:$AT$6&amp;datasets!$AI$7:$AT$7,),0))</f>
        <v>239</v>
      </c>
      <c r="AW25" s="57" t="e">
        <f t="shared" si="16"/>
        <v>#N/A</v>
      </c>
      <c r="AX25" s="57">
        <f t="shared" si="17"/>
        <v>110</v>
      </c>
      <c r="AY25" s="57">
        <f t="shared" si="18"/>
        <v>239</v>
      </c>
      <c r="AZ25" s="57" t="e">
        <f>IF(AS25=CM,AT25,NA())</f>
        <v>#N/A</v>
      </c>
    </row>
    <row r="26" spans="2:52" x14ac:dyDescent="0.25">
      <c r="B26" t="s">
        <v>45</v>
      </c>
      <c r="G26" t="s">
        <v>61</v>
      </c>
      <c r="H26" t="s">
        <v>77</v>
      </c>
      <c r="I26" t="s">
        <v>90</v>
      </c>
      <c r="M26">
        <f>IF(N26&lt;&gt;"",ROWS($N$15:N26),"")</f>
        <v>12</v>
      </c>
      <c r="N26" t="str">
        <f t="shared" si="5"/>
        <v>Amplefio</v>
      </c>
      <c r="O26" s="57">
        <f>IF($N26&lt;&gt;"",INDEX(datasets!$B$9:$D$51,MATCH($N26,datasets!$A$9:$A$51,0),MATCH(O$8,datasets!$B$4:$D$4,0)),"")</f>
        <v>8250</v>
      </c>
      <c r="P26" s="57">
        <f>IF($N26&lt;&gt;"",INDEX(datasets!$B$9:$D$51,MATCH($N26,datasets!$A$9:$A$51,0),MATCH(P$8,datasets!$B$4:$D$4,0)),"")</f>
        <v>541</v>
      </c>
      <c r="Q26" s="57">
        <f>IF($N26&lt;&gt;"",INDEX(datasets!$B$9:$D$51,MATCH($N26,datasets!$A$9:$A$51,0),MATCH(Q$8,datasets!$B$4:$D$4,0)),"")</f>
        <v>5923</v>
      </c>
      <c r="R26" s="57">
        <f>IF($N26&lt;&gt;"",INDEX(datasets!$E$9:$G$51,MATCH($N26,datasets!$A$9:$A$51,0),MATCH(R$8,datasets!$E$4:$G$4,0)),"")</f>
        <v>8507</v>
      </c>
      <c r="S26" s="57">
        <f>IF($N26&lt;&gt;"",INDEX(datasets!$E$9:$G$51,MATCH($N26,datasets!$A$9:$A$51,0),MATCH(S$8,datasets!$E$4:$G$4,0)),"")</f>
        <v>369</v>
      </c>
      <c r="T26" s="57">
        <f>IF($N26&lt;&gt;"",INDEX(datasets!$E$9:$G$51,MATCH($N26,datasets!$A$9:$A$51,0),MATCH(T$8,datasets!$E$4:$G$4,0)),"")</f>
        <v>6622</v>
      </c>
      <c r="U26" s="57">
        <f>IF($N26&lt;&gt;"",INDEX(datasets!$H$9:$J$51,MATCH($N26,datasets!$A$9:$A$51,0),MATCH(U$8,datasets!$H$4:$J$4,0)),"")</f>
        <v>8899</v>
      </c>
      <c r="V26" s="57">
        <f>IF($N26&lt;&gt;"",INDEX(datasets!$H$9:$J$51,MATCH($N26,datasets!$A$9:$A$51,0),MATCH(V$8,datasets!$H$4:$J$4,0)),"")</f>
        <v>474</v>
      </c>
      <c r="W26" s="57">
        <f>IF($N26&lt;&gt;"",INDEX(datasets!$H$9:$J$51,MATCH($N26,datasets!$A$9:$A$51,0),MATCH(W$8,datasets!$H$4:$J$4,0)),"")</f>
        <v>6231</v>
      </c>
      <c r="X26" s="42">
        <f t="shared" si="2"/>
        <v>-3.0210414952392149E-2</v>
      </c>
      <c r="Y26" s="42">
        <f t="shared" si="3"/>
        <v>0.46612466124661245</v>
      </c>
      <c r="Z26" s="42">
        <f t="shared" si="6"/>
        <v>-0.10555723346421021</v>
      </c>
      <c r="AA26" s="42">
        <f t="shared" si="7"/>
        <v>-7.2929542645241041E-2</v>
      </c>
      <c r="AB26" s="42">
        <f t="shared" si="8"/>
        <v>0.14135021097046413</v>
      </c>
      <c r="AC26" s="42">
        <f t="shared" si="9"/>
        <v>-4.9430268014764883E-2</v>
      </c>
      <c r="AF26" t="str">
        <f t="shared" si="10"/>
        <v>Amplefio</v>
      </c>
      <c r="AG26" s="44">
        <f t="shared" si="11"/>
        <v>0.14135021099646414</v>
      </c>
      <c r="AH26" s="39"/>
      <c r="AS26" t="s">
        <v>44</v>
      </c>
      <c r="AT26" s="57">
        <f>INDEX(datasets!$K$9:$V$51,MATCH(calculation!$AS$12,datasets!$A$9:$A$51,0),MATCH(calculation!AT$14&amp;calculation!$AS26&amp;calculation!AT$15,INDEX(datasets!$K$5:$V$5&amp;datasets!$K$6:$V$6&amp;datasets!$K$7:$V$7,),0))</f>
        <v>0</v>
      </c>
      <c r="AU26" s="57">
        <f>INDEX(datasets!$W$9:$AH$51,MATCH(calculation!$AS$12,datasets!$A$9:$A$51,0),MATCH(calculation!AU$14&amp;calculation!$AS26&amp;calculation!AU$15,INDEX(datasets!$W$5:$AH$5&amp;datasets!$W$6:$AH$6&amp;datasets!$W$7:$AH$7,),0))</f>
        <v>126</v>
      </c>
      <c r="AV26" s="57">
        <f>INDEX(datasets!$AI$9:$AT$51,MATCH(calculation!$AS$12,datasets!$A$9:$A$51,0),MATCH(calculation!AV$14&amp;calculation!$AS26&amp;calculation!AV$15,INDEX(datasets!$AI$5:$AT$5&amp;datasets!$AI$6:$AT$6&amp;datasets!$AI$7:$AT$7,),0))</f>
        <v>246</v>
      </c>
      <c r="AW26" s="57" t="e">
        <f t="shared" si="16"/>
        <v>#N/A</v>
      </c>
      <c r="AX26" s="57">
        <f t="shared" si="17"/>
        <v>126</v>
      </c>
      <c r="AY26" s="57">
        <f t="shared" si="18"/>
        <v>246</v>
      </c>
      <c r="AZ26" s="57" t="e">
        <f>IF(AS26=CM,AT26,NA())</f>
        <v>#N/A</v>
      </c>
    </row>
    <row r="27" spans="2:52" x14ac:dyDescent="0.25">
      <c r="G27" t="s">
        <v>62</v>
      </c>
      <c r="H27" t="s">
        <v>99</v>
      </c>
      <c r="I27" t="s">
        <v>91</v>
      </c>
      <c r="M27">
        <f>IF(N27&lt;&gt;"",ROWS($N$15:N27),"")</f>
        <v>13</v>
      </c>
      <c r="N27" t="str">
        <f t="shared" si="5"/>
        <v>Strex</v>
      </c>
      <c r="O27" s="57">
        <f>IF($N27&lt;&gt;"",INDEX(datasets!$B$9:$D$51,MATCH($N27,datasets!$A$9:$A$51,0),MATCH(O$8,datasets!$B$4:$D$4,0)),"")</f>
        <v>8152</v>
      </c>
      <c r="P27" s="57">
        <f>IF($N27&lt;&gt;"",INDEX(datasets!$B$9:$D$51,MATCH($N27,datasets!$A$9:$A$51,0),MATCH(P$8,datasets!$B$4:$D$4,0)),"")</f>
        <v>258</v>
      </c>
      <c r="Q27" s="57">
        <f>IF($N27&lt;&gt;"",INDEX(datasets!$B$9:$D$51,MATCH($N27,datasets!$A$9:$A$51,0),MATCH(Q$8,datasets!$B$4:$D$4,0)),"")</f>
        <v>5700</v>
      </c>
      <c r="R27" s="57">
        <f>IF($N27&lt;&gt;"",INDEX(datasets!$E$9:$G$51,MATCH($N27,datasets!$A$9:$A$51,0),MATCH(R$8,datasets!$E$4:$G$4,0)),"")</f>
        <v>10832</v>
      </c>
      <c r="S27" s="57">
        <f>IF($N27&lt;&gt;"",INDEX(datasets!$E$9:$G$51,MATCH($N27,datasets!$A$9:$A$51,0),MATCH(S$8,datasets!$E$4:$G$4,0)),"")</f>
        <v>577</v>
      </c>
      <c r="T27" s="57">
        <f>IF($N27&lt;&gt;"",INDEX(datasets!$E$9:$G$51,MATCH($N27,datasets!$A$9:$A$51,0),MATCH(T$8,datasets!$E$4:$G$4,0)),"")</f>
        <v>5100</v>
      </c>
      <c r="U27" s="57">
        <f>IF($N27&lt;&gt;"",INDEX(datasets!$H$9:$J$51,MATCH($N27,datasets!$A$9:$A$51,0),MATCH(U$8,datasets!$H$4:$J$4,0)),"")</f>
        <v>9698</v>
      </c>
      <c r="V27" s="57">
        <f>IF($N27&lt;&gt;"",INDEX(datasets!$H$9:$J$51,MATCH($N27,datasets!$A$9:$A$51,0),MATCH(V$8,datasets!$H$4:$J$4,0)),"")</f>
        <v>350</v>
      </c>
      <c r="W27" s="57">
        <f>IF($N27&lt;&gt;"",INDEX(datasets!$H$9:$J$51,MATCH($N27,datasets!$A$9:$A$51,0),MATCH(W$8,datasets!$H$4:$J$4,0)),"")</f>
        <v>5200</v>
      </c>
      <c r="X27" s="42">
        <f t="shared" si="2"/>
        <v>-0.24741506646971936</v>
      </c>
      <c r="Y27" s="42">
        <f t="shared" si="3"/>
        <v>-0.55285961871750433</v>
      </c>
      <c r="Z27" s="42">
        <f t="shared" si="6"/>
        <v>0.11764705882352941</v>
      </c>
      <c r="AA27" s="42">
        <f t="shared" si="7"/>
        <v>-0.15941431222932564</v>
      </c>
      <c r="AB27" s="42">
        <f t="shared" si="8"/>
        <v>-0.26285714285714284</v>
      </c>
      <c r="AC27" s="42">
        <f t="shared" si="9"/>
        <v>9.6153846153846159E-2</v>
      </c>
      <c r="AF27" t="str">
        <f t="shared" si="10"/>
        <v>Strex</v>
      </c>
      <c r="AG27" s="44">
        <f t="shared" si="11"/>
        <v>-0.26285714283014283</v>
      </c>
      <c r="AH27" s="39"/>
      <c r="AS27" t="s">
        <v>45</v>
      </c>
      <c r="AT27" s="57">
        <f>INDEX(datasets!$K$9:$V$51,MATCH(calculation!$AS$12,datasets!$A$9:$A$51,0),MATCH(calculation!AT$14&amp;calculation!$AS27&amp;calculation!AT$15,INDEX(datasets!$K$5:$V$5&amp;datasets!$K$6:$V$6&amp;datasets!$K$7:$V$7,),0))</f>
        <v>0</v>
      </c>
      <c r="AU27" s="57">
        <f>INDEX(datasets!$W$9:$AH$51,MATCH(calculation!$AS$12,datasets!$A$9:$A$51,0),MATCH(calculation!AU$14&amp;calculation!$AS27&amp;calculation!AU$15,INDEX(datasets!$W$5:$AH$5&amp;datasets!$W$6:$AH$6&amp;datasets!$W$7:$AH$7,),0))</f>
        <v>127</v>
      </c>
      <c r="AV27" s="57">
        <f>INDEX(datasets!$AI$9:$AT$51,MATCH(calculation!$AS$12,datasets!$A$9:$A$51,0),MATCH(calculation!AV$14&amp;calculation!$AS27&amp;calculation!AV$15,INDEX(datasets!$AI$5:$AT$5&amp;datasets!$AI$6:$AT$6&amp;datasets!$AI$7:$AT$7,),0))</f>
        <v>257</v>
      </c>
      <c r="AW27" s="57" t="e">
        <f t="shared" si="16"/>
        <v>#N/A</v>
      </c>
      <c r="AX27" s="57">
        <f t="shared" si="17"/>
        <v>127</v>
      </c>
      <c r="AY27" s="57">
        <f t="shared" si="18"/>
        <v>257</v>
      </c>
      <c r="AZ27" s="57" t="e">
        <f>IF(AS27=CM,AT27,NA())</f>
        <v>#N/A</v>
      </c>
    </row>
    <row r="28" spans="2:52" x14ac:dyDescent="0.25">
      <c r="G28" t="s">
        <v>63</v>
      </c>
      <c r="H28" t="s">
        <v>99</v>
      </c>
      <c r="I28" t="s">
        <v>99</v>
      </c>
      <c r="M28" t="str">
        <f>IF(N28&lt;&gt;"",ROWS($N$15:N28),"")</f>
        <v/>
      </c>
      <c r="N28" t="str">
        <f t="shared" si="5"/>
        <v/>
      </c>
      <c r="O28" s="57" t="str">
        <f>IF($N28&lt;&gt;"",INDEX(datasets!$B$9:$D$51,MATCH($N28,datasets!$A$9:$A$51,0),MATCH(O$8,datasets!$B$4:$D$4,0)),"")</f>
        <v/>
      </c>
      <c r="P28" s="57" t="str">
        <f>IF($N28&lt;&gt;"",INDEX(datasets!$B$9:$D$51,MATCH($N28,datasets!$A$9:$A$51,0),MATCH(P$8,datasets!$B$4:$D$4,0)),"")</f>
        <v/>
      </c>
      <c r="Q28" s="57" t="str">
        <f>IF($N28&lt;&gt;"",INDEX(datasets!$B$9:$D$51,MATCH($N28,datasets!$A$9:$A$51,0),MATCH(Q$8,datasets!$B$4:$D$4,0)),"")</f>
        <v/>
      </c>
      <c r="R28" s="57" t="str">
        <f>IF($N28&lt;&gt;"",INDEX(datasets!$E$9:$G$51,MATCH($N28,datasets!$A$9:$A$51,0),MATCH(R$8,datasets!$E$4:$G$4,0)),"")</f>
        <v/>
      </c>
      <c r="S28" s="57" t="str">
        <f>IF($N28&lt;&gt;"",INDEX(datasets!$E$9:$G$51,MATCH($N28,datasets!$A$9:$A$51,0),MATCH(S$8,datasets!$E$4:$G$4,0)),"")</f>
        <v/>
      </c>
      <c r="T28" s="57" t="str">
        <f>IF($N28&lt;&gt;"",INDEX(datasets!$E$9:$G$51,MATCH($N28,datasets!$A$9:$A$51,0),MATCH(T$8,datasets!$E$4:$G$4,0)),"")</f>
        <v/>
      </c>
      <c r="U28" s="57" t="str">
        <f>IF($N28&lt;&gt;"",INDEX(datasets!$H$9:$J$51,MATCH($N28,datasets!$A$9:$A$51,0),MATCH(U$8,datasets!$H$4:$J$4,0)),"")</f>
        <v/>
      </c>
      <c r="V28" s="57" t="str">
        <f>IF($N28&lt;&gt;"",INDEX(datasets!$H$9:$J$51,MATCH($N28,datasets!$A$9:$A$51,0),MATCH(V$8,datasets!$H$4:$J$4,0)),"")</f>
        <v/>
      </c>
      <c r="W28" s="57" t="str">
        <f>IF($N28&lt;&gt;"",INDEX(datasets!$H$9:$J$51,MATCH($N28,datasets!$A$9:$A$51,0),MATCH(W$8,datasets!$H$4:$J$4,0)),"")</f>
        <v/>
      </c>
      <c r="X28" s="42" t="str">
        <f t="shared" si="2"/>
        <v/>
      </c>
      <c r="Y28" s="42" t="str">
        <f t="shared" si="3"/>
        <v/>
      </c>
      <c r="Z28" s="42" t="str">
        <f t="shared" si="6"/>
        <v/>
      </c>
      <c r="AA28" s="42" t="str">
        <f t="shared" ref="AA28:AA34" si="19">IF($N28&lt;&gt;"",(R28-U28)/U28,"")</f>
        <v/>
      </c>
      <c r="AB28" s="42" t="str">
        <f t="shared" ref="AB28:AB34" si="20">IF($N28&lt;&gt;"",(S28-V28)/V28,"")</f>
        <v/>
      </c>
      <c r="AC28" s="42" t="str">
        <f t="shared" ref="AC28:AC34" si="21">IF($N28&lt;&gt;"",(T28-W28)/W28,"")</f>
        <v/>
      </c>
      <c r="AF28" t="str">
        <f t="shared" si="10"/>
        <v/>
      </c>
      <c r="AG28" s="44" t="str">
        <f t="shared" si="11"/>
        <v/>
      </c>
      <c r="AH28" s="39"/>
    </row>
    <row r="29" spans="2:52" x14ac:dyDescent="0.25">
      <c r="G29" t="s">
        <v>64</v>
      </c>
      <c r="H29" t="s">
        <v>99</v>
      </c>
      <c r="I29" t="s">
        <v>99</v>
      </c>
      <c r="M29" t="str">
        <f>IF(N29&lt;&gt;"",ROWS($N$15:N29),"")</f>
        <v/>
      </c>
      <c r="N29" t="str">
        <f t="shared" si="5"/>
        <v/>
      </c>
      <c r="O29" s="57" t="str">
        <f>IF($N29&lt;&gt;"",INDEX(datasets!$B$9:$D$51,MATCH($N29,datasets!$A$9:$A$51,0),MATCH(O$8,datasets!$B$4:$D$4,0)),"")</f>
        <v/>
      </c>
      <c r="P29" s="57" t="str">
        <f>IF($N29&lt;&gt;"",INDEX(datasets!$B$9:$D$51,MATCH($N29,datasets!$A$9:$A$51,0),MATCH(P$8,datasets!$B$4:$D$4,0)),"")</f>
        <v/>
      </c>
      <c r="Q29" s="57" t="str">
        <f>IF($N29&lt;&gt;"",INDEX(datasets!$B$9:$D$51,MATCH($N29,datasets!$A$9:$A$51,0),MATCH(Q$8,datasets!$B$4:$D$4,0)),"")</f>
        <v/>
      </c>
      <c r="R29" s="57" t="str">
        <f>IF($N29&lt;&gt;"",INDEX(datasets!$E$9:$G$51,MATCH($N29,datasets!$A$9:$A$51,0),MATCH(R$8,datasets!$E$4:$G$4,0)),"")</f>
        <v/>
      </c>
      <c r="S29" s="57" t="str">
        <f>IF($N29&lt;&gt;"",INDEX(datasets!$E$9:$G$51,MATCH($N29,datasets!$A$9:$A$51,0),MATCH(S$8,datasets!$E$4:$G$4,0)),"")</f>
        <v/>
      </c>
      <c r="T29" s="57" t="str">
        <f>IF($N29&lt;&gt;"",INDEX(datasets!$E$9:$G$51,MATCH($N29,datasets!$A$9:$A$51,0),MATCH(T$8,datasets!$E$4:$G$4,0)),"")</f>
        <v/>
      </c>
      <c r="U29" s="57" t="str">
        <f>IF($N29&lt;&gt;"",INDEX(datasets!$H$9:$J$51,MATCH($N29,datasets!$A$9:$A$51,0),MATCH(U$8,datasets!$H$4:$J$4,0)),"")</f>
        <v/>
      </c>
      <c r="V29" s="57" t="str">
        <f>IF($N29&lt;&gt;"",INDEX(datasets!$H$9:$J$51,MATCH($N29,datasets!$A$9:$A$51,0),MATCH(V$8,datasets!$H$4:$J$4,0)),"")</f>
        <v/>
      </c>
      <c r="W29" s="57" t="str">
        <f>IF($N29&lt;&gt;"",INDEX(datasets!$H$9:$J$51,MATCH($N29,datasets!$A$9:$A$51,0),MATCH(W$8,datasets!$H$4:$J$4,0)),"")</f>
        <v/>
      </c>
      <c r="X29" s="42" t="str">
        <f t="shared" si="2"/>
        <v/>
      </c>
      <c r="Y29" s="42" t="str">
        <f t="shared" si="3"/>
        <v/>
      </c>
      <c r="Z29" s="42" t="str">
        <f t="shared" si="6"/>
        <v/>
      </c>
      <c r="AA29" s="42" t="str">
        <f t="shared" si="19"/>
        <v/>
      </c>
      <c r="AB29" s="42" t="str">
        <f t="shared" si="20"/>
        <v/>
      </c>
      <c r="AC29" s="42" t="str">
        <f t="shared" si="21"/>
        <v/>
      </c>
      <c r="AF29" t="str">
        <f t="shared" si="10"/>
        <v/>
      </c>
      <c r="AG29" s="44" t="str">
        <f t="shared" si="11"/>
        <v/>
      </c>
      <c r="AH29" s="39"/>
    </row>
    <row r="30" spans="2:52" x14ac:dyDescent="0.25">
      <c r="M30" t="str">
        <f>IF(N30&lt;&gt;"",ROWS($N$15:N30),"")</f>
        <v/>
      </c>
      <c r="N30" t="str">
        <f t="shared" si="5"/>
        <v/>
      </c>
      <c r="O30" t="str">
        <f>IF($N30&lt;&gt;"",INDEX(datasets!$B$9:$D$51,MATCH($N30,datasets!$A$9:$A$51,0),MATCH(O$8,datasets!$B$4:$D$4,0)),"")</f>
        <v/>
      </c>
      <c r="P30" t="str">
        <f>IF($N30&lt;&gt;"",INDEX(datasets!$B$9:$D$51,MATCH($N30,datasets!$A$9:$A$51,0),MATCH(P$8,datasets!$B$4:$D$4,0)),"")</f>
        <v/>
      </c>
      <c r="Q30" t="str">
        <f>IF($N30&lt;&gt;"",INDEX(datasets!$B$9:$D$51,MATCH($N30,datasets!$A$9:$A$51,0),MATCH(Q$8,datasets!$B$4:$D$4,0)),"")</f>
        <v/>
      </c>
      <c r="R30" t="str">
        <f>IF($N30&lt;&gt;"",INDEX(datasets!$E$9:$G$51,MATCH($N30,datasets!$A$9:$A$51,0),MATCH(R$8,datasets!$E$4:$G$4,0)),"")</f>
        <v/>
      </c>
      <c r="S30" t="str">
        <f>IF($N30&lt;&gt;"",INDEX(datasets!$E$9:$G$51,MATCH($N30,datasets!$A$9:$A$51,0),MATCH(S$8,datasets!$E$4:$G$4,0)),"")</f>
        <v/>
      </c>
      <c r="T30" t="str">
        <f>IF($N30&lt;&gt;"",INDEX(datasets!$E$9:$G$51,MATCH($N30,datasets!$A$9:$A$51,0),MATCH(T$8,datasets!$E$4:$G$4,0)),"")</f>
        <v/>
      </c>
      <c r="U30" t="str">
        <f>IF($N30&lt;&gt;"",INDEX(datasets!$H$9:$J$51,MATCH($N30,datasets!$A$9:$A$51,0),MATCH(U$8,datasets!$H$4:$J$4,0)),"")</f>
        <v/>
      </c>
      <c r="V30" t="str">
        <f>IF($N30&lt;&gt;"",INDEX(datasets!$H$9:$J$51,MATCH($N30,datasets!$A$9:$A$51,0),MATCH(V$8,datasets!$H$4:$J$4,0)),"")</f>
        <v/>
      </c>
      <c r="W30" t="str">
        <f>IF($N30&lt;&gt;"",INDEX(datasets!$H$9:$J$51,MATCH($N30,datasets!$A$9:$A$51,0),MATCH(W$8,datasets!$H$4:$J$4,0)),"")</f>
        <v/>
      </c>
      <c r="X30" s="42" t="str">
        <f t="shared" si="2"/>
        <v/>
      </c>
      <c r="Y30" s="42" t="str">
        <f t="shared" si="3"/>
        <v/>
      </c>
      <c r="Z30" s="42" t="str">
        <f t="shared" si="6"/>
        <v/>
      </c>
      <c r="AA30" s="42" t="str">
        <f t="shared" si="19"/>
        <v/>
      </c>
      <c r="AB30" s="42" t="str">
        <f t="shared" si="20"/>
        <v/>
      </c>
      <c r="AC30" s="42" t="str">
        <f t="shared" si="21"/>
        <v/>
      </c>
      <c r="AF30" t="str">
        <f t="shared" si="10"/>
        <v/>
      </c>
      <c r="AG30" s="44" t="str">
        <f t="shared" si="11"/>
        <v/>
      </c>
      <c r="AH30" s="39"/>
    </row>
    <row r="31" spans="2:52" x14ac:dyDescent="0.25">
      <c r="M31" t="str">
        <f>IF(N31&lt;&gt;"",ROWS($N$15:N31),"")</f>
        <v/>
      </c>
      <c r="N31" t="str">
        <f t="shared" si="5"/>
        <v/>
      </c>
      <c r="O31" t="str">
        <f>IF($N31&lt;&gt;"",INDEX(datasets!$B$9:$D$51,MATCH($N31,datasets!$A$9:$A$51,0),MATCH(O$8,datasets!$B$4:$D$4,0)),"")</f>
        <v/>
      </c>
      <c r="P31" t="str">
        <f>IF($N31&lt;&gt;"",INDEX(datasets!$B$9:$D$51,MATCH($N31,datasets!$A$9:$A$51,0),MATCH(P$8,datasets!$B$4:$D$4,0)),"")</f>
        <v/>
      </c>
      <c r="Q31" t="str">
        <f>IF($N31&lt;&gt;"",INDEX(datasets!$B$9:$D$51,MATCH($N31,datasets!$A$9:$A$51,0),MATCH(Q$8,datasets!$B$4:$D$4,0)),"")</f>
        <v/>
      </c>
      <c r="R31" t="str">
        <f>IF($N31&lt;&gt;"",INDEX(datasets!$E$9:$G$51,MATCH($N31,datasets!$A$9:$A$51,0),MATCH(R$8,datasets!$E$4:$G$4,0)),"")</f>
        <v/>
      </c>
      <c r="S31" t="str">
        <f>IF($N31&lt;&gt;"",INDEX(datasets!$E$9:$G$51,MATCH($N31,datasets!$A$9:$A$51,0),MATCH(S$8,datasets!$E$4:$G$4,0)),"")</f>
        <v/>
      </c>
      <c r="T31" t="str">
        <f>IF($N31&lt;&gt;"",INDEX(datasets!$E$9:$G$51,MATCH($N31,datasets!$A$9:$A$51,0),MATCH(T$8,datasets!$E$4:$G$4,0)),"")</f>
        <v/>
      </c>
      <c r="U31" t="str">
        <f>IF($N31&lt;&gt;"",INDEX(datasets!$H$9:$J$51,MATCH($N31,datasets!$A$9:$A$51,0),MATCH(U$8,datasets!$H$4:$J$4,0)),"")</f>
        <v/>
      </c>
      <c r="V31" t="str">
        <f>IF($N31&lt;&gt;"",INDEX(datasets!$H$9:$J$51,MATCH($N31,datasets!$A$9:$A$51,0),MATCH(V$8,datasets!$H$4:$J$4,0)),"")</f>
        <v/>
      </c>
      <c r="W31" t="str">
        <f>IF($N31&lt;&gt;"",INDEX(datasets!$H$9:$J$51,MATCH($N31,datasets!$A$9:$A$51,0),MATCH(W$8,datasets!$H$4:$J$4,0)),"")</f>
        <v/>
      </c>
      <c r="X31" s="42" t="str">
        <f t="shared" si="2"/>
        <v/>
      </c>
      <c r="Y31" s="42" t="str">
        <f t="shared" si="3"/>
        <v/>
      </c>
      <c r="Z31" s="42" t="str">
        <f t="shared" si="6"/>
        <v/>
      </c>
      <c r="AA31" s="42" t="str">
        <f t="shared" si="19"/>
        <v/>
      </c>
      <c r="AB31" s="42" t="str">
        <f t="shared" si="20"/>
        <v/>
      </c>
      <c r="AC31" s="42" t="str">
        <f t="shared" si="21"/>
        <v/>
      </c>
      <c r="AF31" t="str">
        <f t="shared" si="10"/>
        <v/>
      </c>
      <c r="AG31" s="44" t="str">
        <f t="shared" si="11"/>
        <v/>
      </c>
      <c r="AH31" s="39"/>
    </row>
    <row r="32" spans="2:52" x14ac:dyDescent="0.25">
      <c r="M32" t="str">
        <f>IF(N32&lt;&gt;"",ROWS($N$15:N32),"")</f>
        <v/>
      </c>
      <c r="N32" t="str">
        <f t="shared" si="5"/>
        <v/>
      </c>
      <c r="O32" t="str">
        <f>IF($N32&lt;&gt;"",INDEX(datasets!$B$9:$D$51,MATCH($N32,datasets!$A$9:$A$51,0),MATCH(O$8,datasets!$B$4:$D$4,0)),"")</f>
        <v/>
      </c>
      <c r="P32" t="str">
        <f>IF($N32&lt;&gt;"",INDEX(datasets!$B$9:$D$51,MATCH($N32,datasets!$A$9:$A$51,0),MATCH(P$8,datasets!$B$4:$D$4,0)),"")</f>
        <v/>
      </c>
      <c r="Q32" t="str">
        <f>IF($N32&lt;&gt;"",INDEX(datasets!$B$9:$D$51,MATCH($N32,datasets!$A$9:$A$51,0),MATCH(Q$8,datasets!$B$4:$D$4,0)),"")</f>
        <v/>
      </c>
      <c r="R32" t="str">
        <f>IF($N32&lt;&gt;"",INDEX(datasets!$E$9:$G$51,MATCH($N32,datasets!$A$9:$A$51,0),MATCH(R$8,datasets!$E$4:$G$4,0)),"")</f>
        <v/>
      </c>
      <c r="S32" t="str">
        <f>IF($N32&lt;&gt;"",INDEX(datasets!$E$9:$G$51,MATCH($N32,datasets!$A$9:$A$51,0),MATCH(S$8,datasets!$E$4:$G$4,0)),"")</f>
        <v/>
      </c>
      <c r="T32" t="str">
        <f>IF($N32&lt;&gt;"",INDEX(datasets!$E$9:$G$51,MATCH($N32,datasets!$A$9:$A$51,0),MATCH(T$8,datasets!$E$4:$G$4,0)),"")</f>
        <v/>
      </c>
      <c r="U32" t="str">
        <f>IF($N32&lt;&gt;"",INDEX(datasets!$H$9:$J$51,MATCH($N32,datasets!$A$9:$A$51,0),MATCH(U$8,datasets!$H$4:$J$4,0)),"")</f>
        <v/>
      </c>
      <c r="V32" t="str">
        <f>IF($N32&lt;&gt;"",INDEX(datasets!$H$9:$J$51,MATCH($N32,datasets!$A$9:$A$51,0),MATCH(V$8,datasets!$H$4:$J$4,0)),"")</f>
        <v/>
      </c>
      <c r="W32" t="str">
        <f>IF($N32&lt;&gt;"",INDEX(datasets!$H$9:$J$51,MATCH($N32,datasets!$A$9:$A$51,0),MATCH(W$8,datasets!$H$4:$J$4,0)),"")</f>
        <v/>
      </c>
      <c r="X32" s="42" t="str">
        <f t="shared" si="2"/>
        <v/>
      </c>
      <c r="Y32" s="42" t="str">
        <f t="shared" si="3"/>
        <v/>
      </c>
      <c r="Z32" s="42" t="str">
        <f t="shared" si="6"/>
        <v/>
      </c>
      <c r="AA32" s="42" t="str">
        <f t="shared" si="19"/>
        <v/>
      </c>
      <c r="AB32" s="42" t="str">
        <f t="shared" si="20"/>
        <v/>
      </c>
      <c r="AC32" s="42" t="str">
        <f t="shared" si="21"/>
        <v/>
      </c>
      <c r="AF32" t="str">
        <f t="shared" si="10"/>
        <v/>
      </c>
      <c r="AG32" s="44" t="str">
        <f t="shared" si="11"/>
        <v/>
      </c>
      <c r="AH32" s="39"/>
      <c r="AI32" t="str">
        <f>IFERROR(LARGE($AG$15:$AG$34,ROWS($AA$15:AA32)),"")</f>
        <v/>
      </c>
    </row>
    <row r="33" spans="13:35" x14ac:dyDescent="0.25">
      <c r="M33" t="str">
        <f>IF(N33&lt;&gt;"",ROWS($N$15:N33),"")</f>
        <v/>
      </c>
      <c r="N33" t="str">
        <f t="shared" si="5"/>
        <v/>
      </c>
      <c r="O33" t="str">
        <f>IF($N33&lt;&gt;"",INDEX(datasets!$B$9:$D$51,MATCH($N33,datasets!$A$9:$A$51,0),MATCH(O$8,datasets!$B$4:$D$4,0)),"")</f>
        <v/>
      </c>
      <c r="P33" t="str">
        <f>IF($N33&lt;&gt;"",INDEX(datasets!$B$9:$D$51,MATCH($N33,datasets!$A$9:$A$51,0),MATCH(P$8,datasets!$B$4:$D$4,0)),"")</f>
        <v/>
      </c>
      <c r="Q33" t="str">
        <f>IF($N33&lt;&gt;"",INDEX(datasets!$B$9:$D$51,MATCH($N33,datasets!$A$9:$A$51,0),MATCH(Q$8,datasets!$B$4:$D$4,0)),"")</f>
        <v/>
      </c>
      <c r="R33" t="str">
        <f>IF($N33&lt;&gt;"",INDEX(datasets!$E$9:$G$51,MATCH($N33,datasets!$A$9:$A$51,0),MATCH(R$8,datasets!$E$4:$G$4,0)),"")</f>
        <v/>
      </c>
      <c r="S33" t="str">
        <f>IF($N33&lt;&gt;"",INDEX(datasets!$E$9:$G$51,MATCH($N33,datasets!$A$9:$A$51,0),MATCH(S$8,datasets!$E$4:$G$4,0)),"")</f>
        <v/>
      </c>
      <c r="T33" t="str">
        <f>IF($N33&lt;&gt;"",INDEX(datasets!$E$9:$G$51,MATCH($N33,datasets!$A$9:$A$51,0),MATCH(T$8,datasets!$E$4:$G$4,0)),"")</f>
        <v/>
      </c>
      <c r="U33" t="str">
        <f>IF($N33&lt;&gt;"",INDEX(datasets!$H$9:$J$51,MATCH($N33,datasets!$A$9:$A$51,0),MATCH(U$8,datasets!$H$4:$J$4,0)),"")</f>
        <v/>
      </c>
      <c r="V33" t="str">
        <f>IF($N33&lt;&gt;"",INDEX(datasets!$H$9:$J$51,MATCH($N33,datasets!$A$9:$A$51,0),MATCH(V$8,datasets!$H$4:$J$4,0)),"")</f>
        <v/>
      </c>
      <c r="W33" t="str">
        <f>IF($N33&lt;&gt;"",INDEX(datasets!$H$9:$J$51,MATCH($N33,datasets!$A$9:$A$51,0),MATCH(W$8,datasets!$H$4:$J$4,0)),"")</f>
        <v/>
      </c>
      <c r="X33" s="42" t="str">
        <f t="shared" si="2"/>
        <v/>
      </c>
      <c r="Y33" s="42" t="str">
        <f t="shared" si="3"/>
        <v/>
      </c>
      <c r="Z33" s="42" t="str">
        <f t="shared" si="6"/>
        <v/>
      </c>
      <c r="AA33" s="42" t="str">
        <f t="shared" si="19"/>
        <v/>
      </c>
      <c r="AB33" s="42" t="str">
        <f t="shared" si="20"/>
        <v/>
      </c>
      <c r="AC33" s="42" t="str">
        <f t="shared" si="21"/>
        <v/>
      </c>
      <c r="AF33" t="str">
        <f t="shared" si="10"/>
        <v/>
      </c>
      <c r="AG33" s="44" t="str">
        <f t="shared" si="11"/>
        <v/>
      </c>
      <c r="AH33" s="39"/>
      <c r="AI33" t="str">
        <f>IFERROR(LARGE($AG$15:$AG$34,ROWS($AA$15:AA33)),"")</f>
        <v/>
      </c>
    </row>
    <row r="34" spans="13:35" ht="14.4" thickBot="1" x14ac:dyDescent="0.3">
      <c r="M34" t="str">
        <f>IF(N34&lt;&gt;"",ROWS($N$15:N34),"")</f>
        <v/>
      </c>
      <c r="N34" t="str">
        <f t="shared" si="5"/>
        <v/>
      </c>
      <c r="O34" s="6" t="str">
        <f>IF($N34&lt;&gt;"",INDEX(datasets!$B$9:$D$51,MATCH($N34,datasets!$A$9:$A$51,0),MATCH(O$8,datasets!$B$4:$D$4,0)),"")</f>
        <v/>
      </c>
      <c r="P34" s="6" t="str">
        <f>IF($N34&lt;&gt;"",INDEX(datasets!$B$9:$D$51,MATCH($N34,datasets!$A$9:$A$51,0),MATCH(P$8,datasets!$B$4:$D$4,0)),"")</f>
        <v/>
      </c>
      <c r="Q34" s="6" t="str">
        <f>IF($N34&lt;&gt;"",INDEX(datasets!$B$9:$D$51,MATCH($N34,datasets!$A$9:$A$51,0),MATCH(Q$8,datasets!$B$4:$D$4,0)),"")</f>
        <v/>
      </c>
      <c r="R34" s="6" t="str">
        <f>IF($N34&lt;&gt;"",INDEX(datasets!$E$9:$G$51,MATCH($N34,datasets!$A$9:$A$51,0),MATCH(R$8,datasets!$E$4:$G$4,0)),"")</f>
        <v/>
      </c>
      <c r="S34" s="6" t="str">
        <f>IF($N34&lt;&gt;"",INDEX(datasets!$E$9:$G$51,MATCH($N34,datasets!$A$9:$A$51,0),MATCH(S$8,datasets!$E$4:$G$4,0)),"")</f>
        <v/>
      </c>
      <c r="T34" s="6" t="str">
        <f>IF($N34&lt;&gt;"",INDEX(datasets!$E$9:$G$51,MATCH($N34,datasets!$A$9:$A$51,0),MATCH(T$8,datasets!$E$4:$G$4,0)),"")</f>
        <v/>
      </c>
      <c r="U34" s="6" t="str">
        <f>IF($N34&lt;&gt;"",INDEX(datasets!$H$9:$J$51,MATCH($N34,datasets!$A$9:$A$51,0),MATCH(U$8,datasets!$H$4:$J$4,0)),"")</f>
        <v/>
      </c>
      <c r="V34" s="6" t="str">
        <f>IF($N34&lt;&gt;"",INDEX(datasets!$H$9:$J$51,MATCH($N34,datasets!$A$9:$A$51,0),MATCH(V$8,datasets!$H$4:$J$4,0)),"")</f>
        <v/>
      </c>
      <c r="W34" s="6" t="str">
        <f>IF($N34&lt;&gt;"",INDEX(datasets!$H$9:$J$51,MATCH($N34,datasets!$A$9:$A$51,0),MATCH(W$8,datasets!$H$4:$J$4,0)),"")</f>
        <v/>
      </c>
      <c r="X34" s="43" t="str">
        <f t="shared" si="2"/>
        <v/>
      </c>
      <c r="Y34" s="43" t="str">
        <f t="shared" si="3"/>
        <v/>
      </c>
      <c r="Z34" s="43" t="str">
        <f t="shared" si="6"/>
        <v/>
      </c>
      <c r="AA34" s="43" t="str">
        <f t="shared" si="19"/>
        <v/>
      </c>
      <c r="AB34" s="43" t="str">
        <f t="shared" si="20"/>
        <v/>
      </c>
      <c r="AC34" s="43" t="str">
        <f t="shared" si="21"/>
        <v/>
      </c>
      <c r="AF34" t="str">
        <f t="shared" si="10"/>
        <v/>
      </c>
      <c r="AG34" s="44" t="str">
        <f t="shared" si="11"/>
        <v/>
      </c>
      <c r="AH34" s="39"/>
      <c r="AI34" t="str">
        <f>IFERROR(LARGE($AG$15:$AG$34,ROWS($AA$15:AA34)),"")</f>
        <v/>
      </c>
    </row>
    <row r="35" spans="13:35" x14ac:dyDescent="0.25">
      <c r="O35" s="10"/>
      <c r="P35" s="10"/>
      <c r="Q35" s="10"/>
      <c r="R35" s="40"/>
      <c r="S35" s="40"/>
      <c r="T35" s="40"/>
      <c r="U35" s="11"/>
      <c r="V35" s="11"/>
      <c r="W35" s="11"/>
      <c r="X35" s="40"/>
      <c r="Y35" s="40"/>
      <c r="Z35" s="40"/>
      <c r="AA35" s="11"/>
      <c r="AB35" s="11"/>
      <c r="AC35" s="11"/>
      <c r="AH35" s="39"/>
    </row>
    <row r="36" spans="13:35" x14ac:dyDescent="0.25">
      <c r="N36" t="str">
        <f>INDEX(C15:C17,D4)</f>
        <v>Utility Apps</v>
      </c>
      <c r="O36" s="58">
        <f>IF($N36&lt;&gt;"",INDEX(datasets!$B$9:$D$51,MATCH($N36,datasets!$A$9:$A$51,0),MATCH(O$8,datasets!$B$4:$D$4,0)),"")</f>
        <v>189978.5</v>
      </c>
      <c r="P36" s="58">
        <f>IF($N36&lt;&gt;"",INDEX(datasets!$B$9:$D$51,MATCH($N36,datasets!$A$9:$A$51,0),MATCH(P$8,datasets!$B$4:$D$4,0)),"")</f>
        <v>8869.2000000000007</v>
      </c>
      <c r="Q36" s="58">
        <f>IF($N36&lt;&gt;"",INDEX(datasets!$B$9:$D$51,MATCH($N36,datasets!$A$9:$A$51,0),MATCH(Q$8,datasets!$B$4:$D$4,0)),"")</f>
        <v>91467.1</v>
      </c>
      <c r="R36" s="58">
        <f>IF($N36&lt;&gt;"",INDEX(datasets!$E$9:$G$51,MATCH($N36,datasets!$A$9:$A$51,0),MATCH(R$8,datasets!$E$4:$G$4,0)),"")</f>
        <v>187118.2</v>
      </c>
      <c r="S36" s="58">
        <f>IF($N36&lt;&gt;"",INDEX(datasets!$E$9:$G$51,MATCH($N36,datasets!$A$9:$A$51,0),MATCH(S$8,datasets!$E$4:$G$4,0)),"")</f>
        <v>7865.9000000000005</v>
      </c>
      <c r="T36" s="58">
        <f>IF($N36&lt;&gt;"",INDEX(datasets!$E$9:$G$51,MATCH($N36,datasets!$A$9:$A$51,0),MATCH(T$8,datasets!$E$4:$G$4,0)),"")</f>
        <v>97100.299999999988</v>
      </c>
      <c r="U36" s="58">
        <f>IF($N36&lt;&gt;"",INDEX(datasets!$H$9:$J$51,MATCH($N36,datasets!$A$9:$A$51,0),MATCH(U$8,datasets!$H$4:$J$4,0)),"")</f>
        <v>181464.8</v>
      </c>
      <c r="V36" s="58">
        <f>IF($N36&lt;&gt;"",INDEX(datasets!$H$9:$J$51,MATCH($N36,datasets!$A$9:$A$51,0),MATCH(V$8,datasets!$H$4:$J$4,0)),"")</f>
        <v>8122.2</v>
      </c>
      <c r="W36" s="58">
        <f>IF($N36&lt;&gt;"",INDEX(datasets!$H$9:$J$51,MATCH($N36,datasets!$A$9:$A$51,0),MATCH(W$8,datasets!$H$4:$J$4,0)),"")</f>
        <v>94780.800000000003</v>
      </c>
      <c r="X36" s="42">
        <f t="shared" ref="X36" si="22">IF($N36&lt;&gt;"",(O36-R36)/R36,"")</f>
        <v>1.5286059827424528E-2</v>
      </c>
      <c r="Y36" s="42">
        <f t="shared" ref="Y36" si="23">IF($N36&lt;&gt;"",(P36-S36)/S36,"")</f>
        <v>0.12755056636875628</v>
      </c>
      <c r="Z36" s="42">
        <f t="shared" ref="Z36" si="24">IF($N36&lt;&gt;"",(Q36-T36)/T36,"")</f>
        <v>-5.8014238884946633E-2</v>
      </c>
      <c r="AA36" s="42">
        <f t="shared" ref="AA36" si="25">IF($N36&lt;&gt;"",(R36-U36)/U36,"")</f>
        <v>3.1154251403027054E-2</v>
      </c>
      <c r="AB36" s="42">
        <f t="shared" ref="AB36" si="26">IF($N36&lt;&gt;"",(S36-V36)/V36,"")</f>
        <v>-3.1555489891901121E-2</v>
      </c>
      <c r="AC36" s="42">
        <f t="shared" ref="AC36" si="27">IF($N36&lt;&gt;"",(T36-W36)/W36,"")</f>
        <v>2.4472255984334227E-2</v>
      </c>
    </row>
    <row r="38" spans="13:35" x14ac:dyDescent="0.25">
      <c r="N38" s="37" t="s">
        <v>114</v>
      </c>
      <c r="O38" s="37"/>
      <c r="P38" s="37"/>
      <c r="Q38" s="37"/>
      <c r="R38" s="37"/>
      <c r="S38" s="37"/>
      <c r="T38" s="37"/>
      <c r="W38" s="37" t="s">
        <v>109</v>
      </c>
      <c r="X38" s="37"/>
      <c r="Y38" s="37"/>
      <c r="Z38" s="37"/>
      <c r="AA38" s="37"/>
      <c r="AB38" s="37"/>
      <c r="AC38" s="37"/>
    </row>
    <row r="39" spans="13:35" x14ac:dyDescent="0.25">
      <c r="N39" t="s">
        <v>46</v>
      </c>
      <c r="O39" s="58">
        <f>O36-U36</f>
        <v>8513.7000000000116</v>
      </c>
      <c r="P39" t="str">
        <f>IF(O39&gt;0,"Over Budget",IF(O39&lt;0,"Under Budget","On Budget"))</f>
        <v>Over Budget</v>
      </c>
      <c r="W39" t="s">
        <v>110</v>
      </c>
      <c r="X39" s="44">
        <f>MIN(X15:X29)</f>
        <v>-0.24741506646971936</v>
      </c>
      <c r="Y39" s="44">
        <f t="shared" ref="Y39:Z39" si="28">MIN(Y15:Y29)</f>
        <v>-0.55285961871750433</v>
      </c>
      <c r="Z39" s="44">
        <f t="shared" si="28"/>
        <v>-0.18720538720538721</v>
      </c>
    </row>
    <row r="40" spans="13:35" x14ac:dyDescent="0.25">
      <c r="N40" t="s">
        <v>47</v>
      </c>
      <c r="O40" s="58">
        <f>P36-V36</f>
        <v>747.00000000000091</v>
      </c>
      <c r="P40" t="str">
        <f t="shared" ref="P40:P41" si="29">IF(O40&gt;0,"Over Budget",IF(O40&lt;0,"Under Budget","On Budget"))</f>
        <v>Over Budget</v>
      </c>
      <c r="W40" t="s">
        <v>111</v>
      </c>
      <c r="X40" s="44">
        <f>MAX(X15:X29)</f>
        <v>0.16703703703703704</v>
      </c>
      <c r="Y40" s="44">
        <f t="shared" ref="Y40:Z40" si="30">MAX(Y15:Y29)</f>
        <v>0.46612466124661245</v>
      </c>
      <c r="Z40" s="44">
        <f t="shared" si="30"/>
        <v>0.136474609375</v>
      </c>
    </row>
    <row r="41" spans="13:35" x14ac:dyDescent="0.25">
      <c r="N41" t="s">
        <v>48</v>
      </c>
      <c r="O41" s="58">
        <f>Q36-W36</f>
        <v>-3313.6999999999971</v>
      </c>
      <c r="P41" t="str">
        <f t="shared" si="29"/>
        <v>Under Budget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U22"/>
  <sheetViews>
    <sheetView showGridLines="0" zoomScale="68" zoomScaleNormal="115" workbookViewId="0">
      <selection activeCell="O28" sqref="O28"/>
    </sheetView>
  </sheetViews>
  <sheetFormatPr defaultRowHeight="13.8" x14ac:dyDescent="0.25"/>
  <cols>
    <col min="13" max="13" width="20.3984375" customWidth="1"/>
  </cols>
  <sheetData>
    <row r="7" spans="2:21" ht="14.4" thickBot="1" x14ac:dyDescent="0.3">
      <c r="O7" t="s">
        <v>22</v>
      </c>
      <c r="S7" t="s">
        <v>23</v>
      </c>
      <c r="U7" t="s">
        <v>31</v>
      </c>
    </row>
    <row r="8" spans="2:21" x14ac:dyDescent="0.25">
      <c r="B8" s="8" t="s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2"/>
      <c r="O8" t="s">
        <v>11</v>
      </c>
      <c r="P8" t="s">
        <v>17</v>
      </c>
      <c r="Q8" s="10"/>
      <c r="S8" t="s">
        <v>24</v>
      </c>
      <c r="U8" t="s">
        <v>25</v>
      </c>
    </row>
    <row r="9" spans="2:21" x14ac:dyDescent="0.25">
      <c r="B9" s="3"/>
      <c r="M9" s="4"/>
      <c r="O9" t="s">
        <v>18</v>
      </c>
      <c r="P9" t="s">
        <v>19</v>
      </c>
      <c r="Q9" s="11"/>
      <c r="U9" t="s">
        <v>26</v>
      </c>
    </row>
    <row r="10" spans="2:21" x14ac:dyDescent="0.25">
      <c r="B10" s="3"/>
      <c r="D10" s="9" t="s">
        <v>14</v>
      </c>
      <c r="H10" s="9" t="s">
        <v>15</v>
      </c>
      <c r="L10" s="9" t="s">
        <v>16</v>
      </c>
      <c r="M10" s="4"/>
      <c r="O10" t="s">
        <v>20</v>
      </c>
      <c r="P10" t="s">
        <v>21</v>
      </c>
      <c r="Q10" s="12"/>
      <c r="U10" t="s">
        <v>27</v>
      </c>
    </row>
    <row r="11" spans="2:21" x14ac:dyDescent="0.25">
      <c r="B11" s="3"/>
      <c r="C11" t="s">
        <v>11</v>
      </c>
      <c r="D11" t="s">
        <v>12</v>
      </c>
      <c r="E11" t="s">
        <v>13</v>
      </c>
      <c r="G11" t="s">
        <v>11</v>
      </c>
      <c r="H11" t="s">
        <v>12</v>
      </c>
      <c r="I11" t="s">
        <v>13</v>
      </c>
      <c r="K11" t="s">
        <v>11</v>
      </c>
      <c r="L11" t="s">
        <v>12</v>
      </c>
      <c r="M11" s="4" t="s">
        <v>13</v>
      </c>
      <c r="U11" t="s">
        <v>28</v>
      </c>
    </row>
    <row r="12" spans="2:21" x14ac:dyDescent="0.25">
      <c r="B12" s="3" t="s">
        <v>1</v>
      </c>
      <c r="M12" s="4"/>
      <c r="P12" s="41"/>
      <c r="U12" t="s">
        <v>29</v>
      </c>
    </row>
    <row r="13" spans="2:21" x14ac:dyDescent="0.25">
      <c r="B13" s="3" t="s">
        <v>2</v>
      </c>
      <c r="M13" s="4"/>
      <c r="U13" t="s">
        <v>30</v>
      </c>
    </row>
    <row r="14" spans="2:21" x14ac:dyDescent="0.25">
      <c r="B14" s="3" t="s">
        <v>3</v>
      </c>
      <c r="M14" s="4"/>
    </row>
    <row r="15" spans="2:21" x14ac:dyDescent="0.25">
      <c r="B15" s="3" t="s">
        <v>4</v>
      </c>
      <c r="M15" s="4"/>
    </row>
    <row r="16" spans="2:21" x14ac:dyDescent="0.25">
      <c r="B16" s="3" t="s">
        <v>5</v>
      </c>
      <c r="M16" s="4"/>
    </row>
    <row r="17" spans="2:13" x14ac:dyDescent="0.25">
      <c r="B17" s="3" t="s">
        <v>6</v>
      </c>
      <c r="M17" s="4"/>
    </row>
    <row r="18" spans="2:13" x14ac:dyDescent="0.25">
      <c r="B18" s="3" t="s">
        <v>7</v>
      </c>
      <c r="M18" s="4"/>
    </row>
    <row r="19" spans="2:13" x14ac:dyDescent="0.25">
      <c r="B19" s="3" t="s">
        <v>9</v>
      </c>
      <c r="M19" s="4"/>
    </row>
    <row r="20" spans="2:13" x14ac:dyDescent="0.25">
      <c r="B20" s="3" t="s">
        <v>8</v>
      </c>
      <c r="M20" s="4"/>
    </row>
    <row r="21" spans="2:13" x14ac:dyDescent="0.25">
      <c r="B21" s="3" t="s">
        <v>10</v>
      </c>
      <c r="M21" s="4"/>
    </row>
    <row r="22" spans="2:13" ht="14.4" thickBot="1" x14ac:dyDescent="0.3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FA756-6ACB-4A3D-9087-4C4EE2C9086F}">
  <dimension ref="A1:AT51"/>
  <sheetViews>
    <sheetView topLeftCell="A5" workbookViewId="0">
      <selection activeCell="AV18" sqref="AV18"/>
    </sheetView>
  </sheetViews>
  <sheetFormatPr defaultRowHeight="13.8" x14ac:dyDescent="0.25"/>
  <cols>
    <col min="1" max="1" width="17.19921875" customWidth="1"/>
    <col min="3" max="3" width="8.796875" customWidth="1"/>
  </cols>
  <sheetData>
    <row r="1" spans="1:46" x14ac:dyDescent="0.25">
      <c r="A1" t="s">
        <v>32</v>
      </c>
    </row>
    <row r="2" spans="1:46" x14ac:dyDescent="0.25">
      <c r="A2" s="36">
        <f>CY</f>
        <v>2017</v>
      </c>
      <c r="B2" s="36">
        <f>A2-1</f>
        <v>2016</v>
      </c>
    </row>
    <row r="3" spans="1:46" x14ac:dyDescent="0.25">
      <c r="B3" s="14" t="s">
        <v>11</v>
      </c>
      <c r="C3" s="15"/>
      <c r="D3" s="16"/>
      <c r="E3" s="17" t="s">
        <v>33</v>
      </c>
      <c r="F3" s="18"/>
      <c r="G3" s="19"/>
      <c r="H3" s="20" t="s">
        <v>18</v>
      </c>
      <c r="I3" s="20"/>
      <c r="J3" s="21"/>
      <c r="K3" s="14" t="s">
        <v>11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7" t="s">
        <v>33</v>
      </c>
      <c r="X3" s="17"/>
      <c r="Y3" s="17"/>
      <c r="Z3" s="17"/>
      <c r="AA3" s="17"/>
      <c r="AB3" s="17"/>
      <c r="AC3" s="17"/>
      <c r="AD3" s="17"/>
      <c r="AE3" s="17"/>
      <c r="AF3" s="17"/>
      <c r="AG3" s="17"/>
      <c r="AH3" s="22"/>
      <c r="AI3" s="20" t="s">
        <v>18</v>
      </c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</row>
    <row r="4" spans="1:46" x14ac:dyDescent="0.25">
      <c r="B4" t="str">
        <f>B5&amp;B6&amp;B7&amp;B8</f>
        <v>2017JunActualRevenue</v>
      </c>
      <c r="C4" t="str">
        <f>C5&amp;C6&amp;C7&amp;C8</f>
        <v>2017JunActualProfit</v>
      </c>
      <c r="D4" t="str">
        <f t="shared" ref="D4:AT4" si="0">D5&amp;D6&amp;D7&amp;D8</f>
        <v>2017JunActualCash</v>
      </c>
      <c r="E4" t="str">
        <f t="shared" si="0"/>
        <v>2016JunActualRevenue</v>
      </c>
      <c r="F4" t="str">
        <f t="shared" si="0"/>
        <v>2016JunActualProfit</v>
      </c>
      <c r="G4" t="str">
        <f t="shared" si="0"/>
        <v>2016JunActualCash</v>
      </c>
      <c r="H4" t="str">
        <f t="shared" si="0"/>
        <v>2017JunBudgetRevenue</v>
      </c>
      <c r="I4" t="str">
        <f t="shared" si="0"/>
        <v>2017JunBudgetProfit</v>
      </c>
      <c r="J4" t="str">
        <f t="shared" si="0"/>
        <v>2017JunBudgetCash</v>
      </c>
      <c r="K4" t="str">
        <f t="shared" si="0"/>
        <v>2017JanActualProfit</v>
      </c>
      <c r="L4" t="str">
        <f t="shared" si="0"/>
        <v>2017FebActualProfit</v>
      </c>
      <c r="M4" t="str">
        <f t="shared" si="0"/>
        <v>2017MarActualProfit</v>
      </c>
      <c r="N4" t="str">
        <f t="shared" si="0"/>
        <v>2017AprActualProfit</v>
      </c>
      <c r="O4" t="str">
        <f t="shared" si="0"/>
        <v>2017MayActualProfit</v>
      </c>
      <c r="P4" t="str">
        <f t="shared" si="0"/>
        <v>2017JunActualProfit</v>
      </c>
      <c r="Q4" t="str">
        <f t="shared" si="0"/>
        <v>2017JulActualProfit</v>
      </c>
      <c r="R4" t="str">
        <f t="shared" si="0"/>
        <v>2017AugActualProfit</v>
      </c>
      <c r="S4" t="str">
        <f t="shared" si="0"/>
        <v>2017SepActualProfit</v>
      </c>
      <c r="T4" t="str">
        <f t="shared" si="0"/>
        <v>2017OctActualProfit</v>
      </c>
      <c r="U4" t="str">
        <f t="shared" si="0"/>
        <v>2017NovActualProfit</v>
      </c>
      <c r="V4" t="str">
        <f t="shared" si="0"/>
        <v>2017DecActualProfit</v>
      </c>
      <c r="W4" t="str">
        <f t="shared" si="0"/>
        <v>2016JanActualProfit</v>
      </c>
      <c r="X4" t="str">
        <f t="shared" si="0"/>
        <v>2016FebActualProfit</v>
      </c>
      <c r="Y4" t="str">
        <f t="shared" si="0"/>
        <v>2016MarActualProfit</v>
      </c>
      <c r="Z4" t="str">
        <f t="shared" si="0"/>
        <v>2016AprActualProfit</v>
      </c>
      <c r="AA4" t="str">
        <f t="shared" si="0"/>
        <v>2016MayActualProfit</v>
      </c>
      <c r="AB4" t="str">
        <f t="shared" si="0"/>
        <v>2016JunActualProfit</v>
      </c>
      <c r="AC4" t="str">
        <f t="shared" si="0"/>
        <v>2016JulActualProfit</v>
      </c>
      <c r="AD4" t="str">
        <f t="shared" si="0"/>
        <v>2016AugActualProfit</v>
      </c>
      <c r="AE4" t="str">
        <f t="shared" si="0"/>
        <v>2016SepActualProfit</v>
      </c>
      <c r="AF4" t="str">
        <f t="shared" si="0"/>
        <v>2016OctActualProfit</v>
      </c>
      <c r="AG4" t="str">
        <f t="shared" si="0"/>
        <v>2016NovActualProfit</v>
      </c>
      <c r="AH4" t="str">
        <f t="shared" si="0"/>
        <v>2016DecActualProfit</v>
      </c>
      <c r="AI4" t="str">
        <f t="shared" si="0"/>
        <v>2017JanBudgetProfit</v>
      </c>
      <c r="AJ4" t="str">
        <f t="shared" si="0"/>
        <v>2017FebBudgetProfit</v>
      </c>
      <c r="AK4" t="str">
        <f t="shared" si="0"/>
        <v>2017MarBudgetProfit</v>
      </c>
      <c r="AL4" t="str">
        <f t="shared" si="0"/>
        <v>2017AprBudgetProfit</v>
      </c>
      <c r="AM4" t="str">
        <f t="shared" si="0"/>
        <v>2017MayBudgetProfit</v>
      </c>
      <c r="AN4" t="str">
        <f t="shared" si="0"/>
        <v>2017JunBudgetProfit</v>
      </c>
      <c r="AO4" t="str">
        <f t="shared" si="0"/>
        <v>2017JulBudgetProfit</v>
      </c>
      <c r="AP4" t="str">
        <f t="shared" si="0"/>
        <v>2017AugBudgetProfit</v>
      </c>
      <c r="AQ4" t="str">
        <f t="shared" si="0"/>
        <v>2017SepBudgetProfit</v>
      </c>
      <c r="AR4" t="str">
        <f t="shared" si="0"/>
        <v>2017OctBudgetProfit</v>
      </c>
      <c r="AS4" t="str">
        <f t="shared" si="0"/>
        <v>2017NovBudgetProfit</v>
      </c>
      <c r="AT4" t="str">
        <f t="shared" si="0"/>
        <v>2017DecBudgetProfit</v>
      </c>
    </row>
    <row r="5" spans="1:46" x14ac:dyDescent="0.25">
      <c r="B5" s="24">
        <f t="shared" ref="B5:D5" si="1">$A$2</f>
        <v>2017</v>
      </c>
      <c r="C5" s="24">
        <f t="shared" si="1"/>
        <v>2017</v>
      </c>
      <c r="D5" s="25">
        <f t="shared" si="1"/>
        <v>2017</v>
      </c>
      <c r="E5" s="24">
        <f t="shared" ref="E5:G5" si="2">$B$2</f>
        <v>2016</v>
      </c>
      <c r="F5" s="24">
        <f t="shared" si="2"/>
        <v>2016</v>
      </c>
      <c r="G5" s="25">
        <f t="shared" si="2"/>
        <v>2016</v>
      </c>
      <c r="H5" s="24">
        <f t="shared" ref="H5:V5" si="3">$A$2</f>
        <v>2017</v>
      </c>
      <c r="I5" s="24">
        <f t="shared" si="3"/>
        <v>2017</v>
      </c>
      <c r="J5" s="25">
        <f t="shared" si="3"/>
        <v>2017</v>
      </c>
      <c r="K5" s="26">
        <f t="shared" si="3"/>
        <v>2017</v>
      </c>
      <c r="L5" s="26">
        <f>$A$2</f>
        <v>2017</v>
      </c>
      <c r="M5" s="26">
        <f t="shared" si="3"/>
        <v>2017</v>
      </c>
      <c r="N5" s="26">
        <f t="shared" si="3"/>
        <v>2017</v>
      </c>
      <c r="O5" s="26">
        <f t="shared" si="3"/>
        <v>2017</v>
      </c>
      <c r="P5" s="26">
        <f t="shared" si="3"/>
        <v>2017</v>
      </c>
      <c r="Q5" s="26">
        <f t="shared" si="3"/>
        <v>2017</v>
      </c>
      <c r="R5" s="26">
        <f t="shared" si="3"/>
        <v>2017</v>
      </c>
      <c r="S5" s="26">
        <f t="shared" si="3"/>
        <v>2017</v>
      </c>
      <c r="T5" s="26">
        <f t="shared" si="3"/>
        <v>2017</v>
      </c>
      <c r="U5" s="26">
        <f t="shared" si="3"/>
        <v>2017</v>
      </c>
      <c r="V5" s="26">
        <f t="shared" si="3"/>
        <v>2017</v>
      </c>
      <c r="W5" s="27">
        <f t="shared" ref="W5:AH5" si="4">$B$2</f>
        <v>2016</v>
      </c>
      <c r="X5" s="26">
        <f t="shared" si="4"/>
        <v>2016</v>
      </c>
      <c r="Y5" s="26">
        <f t="shared" si="4"/>
        <v>2016</v>
      </c>
      <c r="Z5" s="26">
        <f t="shared" si="4"/>
        <v>2016</v>
      </c>
      <c r="AA5" s="26">
        <f t="shared" si="4"/>
        <v>2016</v>
      </c>
      <c r="AB5" s="26">
        <f t="shared" si="4"/>
        <v>2016</v>
      </c>
      <c r="AC5" s="26">
        <f t="shared" si="4"/>
        <v>2016</v>
      </c>
      <c r="AD5" s="26">
        <f t="shared" si="4"/>
        <v>2016</v>
      </c>
      <c r="AE5" s="26">
        <f t="shared" si="4"/>
        <v>2016</v>
      </c>
      <c r="AF5" s="26">
        <f t="shared" si="4"/>
        <v>2016</v>
      </c>
      <c r="AG5" s="26">
        <f t="shared" si="4"/>
        <v>2016</v>
      </c>
      <c r="AH5" s="28">
        <f t="shared" si="4"/>
        <v>2016</v>
      </c>
      <c r="AI5" s="26">
        <f t="shared" ref="AI5:AT5" si="5">$A$2</f>
        <v>2017</v>
      </c>
      <c r="AJ5" s="26">
        <f t="shared" si="5"/>
        <v>2017</v>
      </c>
      <c r="AK5" s="26">
        <f t="shared" si="5"/>
        <v>2017</v>
      </c>
      <c r="AL5" s="26">
        <f t="shared" si="5"/>
        <v>2017</v>
      </c>
      <c r="AM5" s="26">
        <f t="shared" si="5"/>
        <v>2017</v>
      </c>
      <c r="AN5" s="26">
        <f t="shared" si="5"/>
        <v>2017</v>
      </c>
      <c r="AO5" s="26">
        <f t="shared" si="5"/>
        <v>2017</v>
      </c>
      <c r="AP5" s="26">
        <f t="shared" si="5"/>
        <v>2017</v>
      </c>
      <c r="AQ5" s="26">
        <f t="shared" si="5"/>
        <v>2017</v>
      </c>
      <c r="AR5" s="26">
        <f t="shared" si="5"/>
        <v>2017</v>
      </c>
      <c r="AS5" s="26">
        <f t="shared" si="5"/>
        <v>2017</v>
      </c>
      <c r="AT5" s="26">
        <f t="shared" si="5"/>
        <v>2017</v>
      </c>
    </row>
    <row r="6" spans="1:46" x14ac:dyDescent="0.25">
      <c r="B6" s="24" t="str">
        <f t="shared" ref="B6:J6" si="6">CM</f>
        <v>Jun</v>
      </c>
      <c r="C6" s="24" t="str">
        <f t="shared" si="6"/>
        <v>Jun</v>
      </c>
      <c r="D6" s="24" t="str">
        <f t="shared" si="6"/>
        <v>Jun</v>
      </c>
      <c r="E6" s="24" t="str">
        <f t="shared" si="6"/>
        <v>Jun</v>
      </c>
      <c r="F6" s="24" t="str">
        <f t="shared" si="6"/>
        <v>Jun</v>
      </c>
      <c r="G6" s="25" t="str">
        <f t="shared" si="6"/>
        <v>Jun</v>
      </c>
      <c r="H6" s="24" t="str">
        <f t="shared" si="6"/>
        <v>Jun</v>
      </c>
      <c r="I6" s="24" t="str">
        <f t="shared" si="6"/>
        <v>Jun</v>
      </c>
      <c r="J6" s="25" t="str">
        <f t="shared" si="6"/>
        <v>Jun</v>
      </c>
      <c r="K6" s="26" t="s">
        <v>34</v>
      </c>
      <c r="L6" s="26" t="s">
        <v>35</v>
      </c>
      <c r="M6" s="26" t="s">
        <v>36</v>
      </c>
      <c r="N6" s="26" t="s">
        <v>37</v>
      </c>
      <c r="O6" s="26" t="s">
        <v>38</v>
      </c>
      <c r="P6" s="26" t="s">
        <v>39</v>
      </c>
      <c r="Q6" s="26" t="s">
        <v>40</v>
      </c>
      <c r="R6" s="26" t="s">
        <v>41</v>
      </c>
      <c r="S6" s="26" t="s">
        <v>42</v>
      </c>
      <c r="T6" s="26" t="s">
        <v>43</v>
      </c>
      <c r="U6" s="26" t="s">
        <v>44</v>
      </c>
      <c r="V6" s="28" t="s">
        <v>45</v>
      </c>
      <c r="W6" s="26" t="s">
        <v>34</v>
      </c>
      <c r="X6" s="26" t="s">
        <v>35</v>
      </c>
      <c r="Y6" s="26" t="s">
        <v>36</v>
      </c>
      <c r="Z6" s="26" t="s">
        <v>37</v>
      </c>
      <c r="AA6" s="26" t="s">
        <v>38</v>
      </c>
      <c r="AB6" s="26" t="s">
        <v>39</v>
      </c>
      <c r="AC6" s="26" t="s">
        <v>40</v>
      </c>
      <c r="AD6" s="26" t="s">
        <v>41</v>
      </c>
      <c r="AE6" s="26" t="s">
        <v>42</v>
      </c>
      <c r="AF6" s="26" t="s">
        <v>43</v>
      </c>
      <c r="AG6" s="26" t="s">
        <v>44</v>
      </c>
      <c r="AH6" s="28" t="s">
        <v>45</v>
      </c>
      <c r="AI6" s="26" t="s">
        <v>34</v>
      </c>
      <c r="AJ6" s="26" t="s">
        <v>35</v>
      </c>
      <c r="AK6" s="26" t="s">
        <v>36</v>
      </c>
      <c r="AL6" s="26" t="s">
        <v>37</v>
      </c>
      <c r="AM6" s="26" t="s">
        <v>38</v>
      </c>
      <c r="AN6" s="26" t="s">
        <v>39</v>
      </c>
      <c r="AO6" s="26" t="s">
        <v>40</v>
      </c>
      <c r="AP6" s="26" t="s">
        <v>41</v>
      </c>
      <c r="AQ6" s="26" t="s">
        <v>42</v>
      </c>
      <c r="AR6" s="26" t="s">
        <v>43</v>
      </c>
      <c r="AS6" s="26" t="s">
        <v>44</v>
      </c>
      <c r="AT6" s="26" t="s">
        <v>45</v>
      </c>
    </row>
    <row r="7" spans="1:46" x14ac:dyDescent="0.25">
      <c r="B7" s="24" t="s">
        <v>11</v>
      </c>
      <c r="C7" s="24" t="s">
        <v>11</v>
      </c>
      <c r="D7" s="25" t="s">
        <v>11</v>
      </c>
      <c r="E7" s="24" t="s">
        <v>11</v>
      </c>
      <c r="F7" s="24" t="s">
        <v>11</v>
      </c>
      <c r="G7" s="25" t="s">
        <v>11</v>
      </c>
      <c r="H7" s="24" t="s">
        <v>18</v>
      </c>
      <c r="I7" s="24" t="s">
        <v>18</v>
      </c>
      <c r="J7" s="25" t="s">
        <v>18</v>
      </c>
      <c r="K7" s="26" t="s">
        <v>11</v>
      </c>
      <c r="L7" s="26" t="s">
        <v>11</v>
      </c>
      <c r="M7" s="26" t="s">
        <v>11</v>
      </c>
      <c r="N7" s="26" t="s">
        <v>11</v>
      </c>
      <c r="O7" s="26" t="s">
        <v>11</v>
      </c>
      <c r="P7" s="26" t="s">
        <v>11</v>
      </c>
      <c r="Q7" s="26" t="s">
        <v>11</v>
      </c>
      <c r="R7" s="26" t="s">
        <v>11</v>
      </c>
      <c r="S7" s="26" t="s">
        <v>11</v>
      </c>
      <c r="T7" s="26" t="s">
        <v>11</v>
      </c>
      <c r="U7" s="26" t="s">
        <v>11</v>
      </c>
      <c r="V7" s="26" t="s">
        <v>11</v>
      </c>
      <c r="W7" s="27" t="s">
        <v>11</v>
      </c>
      <c r="X7" s="26" t="s">
        <v>11</v>
      </c>
      <c r="Y7" s="26" t="s">
        <v>11</v>
      </c>
      <c r="Z7" s="26" t="s">
        <v>11</v>
      </c>
      <c r="AA7" s="26" t="s">
        <v>11</v>
      </c>
      <c r="AB7" s="26" t="s">
        <v>11</v>
      </c>
      <c r="AC7" s="26" t="s">
        <v>11</v>
      </c>
      <c r="AD7" s="26" t="s">
        <v>11</v>
      </c>
      <c r="AE7" s="26" t="s">
        <v>11</v>
      </c>
      <c r="AF7" s="26" t="s">
        <v>11</v>
      </c>
      <c r="AG7" s="26" t="s">
        <v>11</v>
      </c>
      <c r="AH7" s="28" t="s">
        <v>11</v>
      </c>
      <c r="AI7" s="26" t="s">
        <v>18</v>
      </c>
      <c r="AJ7" s="26" t="s">
        <v>18</v>
      </c>
      <c r="AK7" s="26" t="s">
        <v>18</v>
      </c>
      <c r="AL7" s="26" t="s">
        <v>18</v>
      </c>
      <c r="AM7" s="26" t="s">
        <v>18</v>
      </c>
      <c r="AN7" s="26" t="s">
        <v>18</v>
      </c>
      <c r="AO7" s="26" t="s">
        <v>18</v>
      </c>
      <c r="AP7" s="26" t="s">
        <v>18</v>
      </c>
      <c r="AQ7" s="26" t="s">
        <v>18</v>
      </c>
      <c r="AR7" s="26" t="s">
        <v>18</v>
      </c>
      <c r="AS7" s="26" t="s">
        <v>18</v>
      </c>
      <c r="AT7" s="26" t="s">
        <v>18</v>
      </c>
    </row>
    <row r="8" spans="1:46" x14ac:dyDescent="0.25">
      <c r="A8" s="29"/>
      <c r="B8" s="30" t="s">
        <v>46</v>
      </c>
      <c r="C8" s="30" t="s">
        <v>47</v>
      </c>
      <c r="D8" s="31" t="s">
        <v>48</v>
      </c>
      <c r="E8" s="30" t="s">
        <v>46</v>
      </c>
      <c r="F8" s="30" t="s">
        <v>47</v>
      </c>
      <c r="G8" s="31" t="s">
        <v>48</v>
      </c>
      <c r="H8" s="30" t="s">
        <v>46</v>
      </c>
      <c r="I8" s="30" t="s">
        <v>47</v>
      </c>
      <c r="J8" s="31" t="s">
        <v>48</v>
      </c>
      <c r="K8" s="32" t="s">
        <v>47</v>
      </c>
      <c r="L8" s="32" t="s">
        <v>47</v>
      </c>
      <c r="M8" s="32" t="s">
        <v>47</v>
      </c>
      <c r="N8" s="32" t="s">
        <v>47</v>
      </c>
      <c r="O8" s="32" t="s">
        <v>47</v>
      </c>
      <c r="P8" s="32" t="s">
        <v>47</v>
      </c>
      <c r="Q8" s="32" t="s">
        <v>47</v>
      </c>
      <c r="R8" s="32" t="s">
        <v>47</v>
      </c>
      <c r="S8" s="32" t="s">
        <v>47</v>
      </c>
      <c r="T8" s="32" t="s">
        <v>47</v>
      </c>
      <c r="U8" s="32" t="s">
        <v>47</v>
      </c>
      <c r="V8" s="32" t="s">
        <v>47</v>
      </c>
      <c r="W8" s="33" t="s">
        <v>47</v>
      </c>
      <c r="X8" s="32" t="s">
        <v>47</v>
      </c>
      <c r="Y8" s="32" t="s">
        <v>47</v>
      </c>
      <c r="Z8" s="32" t="s">
        <v>47</v>
      </c>
      <c r="AA8" s="32" t="s">
        <v>47</v>
      </c>
      <c r="AB8" s="32" t="s">
        <v>47</v>
      </c>
      <c r="AC8" s="32" t="s">
        <v>47</v>
      </c>
      <c r="AD8" s="32" t="s">
        <v>47</v>
      </c>
      <c r="AE8" s="32" t="s">
        <v>47</v>
      </c>
      <c r="AF8" s="32" t="s">
        <v>47</v>
      </c>
      <c r="AG8" s="32" t="s">
        <v>47</v>
      </c>
      <c r="AH8" s="34" t="s">
        <v>47</v>
      </c>
      <c r="AI8" s="32" t="s">
        <v>47</v>
      </c>
      <c r="AJ8" s="32" t="s">
        <v>47</v>
      </c>
      <c r="AK8" s="32" t="s">
        <v>47</v>
      </c>
      <c r="AL8" s="32" t="s">
        <v>47</v>
      </c>
      <c r="AM8" s="32" t="s">
        <v>47</v>
      </c>
      <c r="AN8" s="32" t="s">
        <v>47</v>
      </c>
      <c r="AO8" s="32" t="s">
        <v>47</v>
      </c>
      <c r="AP8" s="32" t="s">
        <v>47</v>
      </c>
      <c r="AQ8" s="32" t="s">
        <v>47</v>
      </c>
      <c r="AR8" s="32" t="s">
        <v>47</v>
      </c>
      <c r="AS8" s="32" t="s">
        <v>47</v>
      </c>
      <c r="AT8" s="32" t="s">
        <v>47</v>
      </c>
    </row>
    <row r="9" spans="1:46" x14ac:dyDescent="0.25">
      <c r="A9" t="s">
        <v>49</v>
      </c>
      <c r="B9">
        <v>162643</v>
      </c>
      <c r="C9">
        <v>9359</v>
      </c>
      <c r="D9" s="4">
        <v>103058</v>
      </c>
      <c r="E9">
        <v>159773</v>
      </c>
      <c r="F9">
        <v>9241</v>
      </c>
      <c r="G9" s="4">
        <v>103723</v>
      </c>
      <c r="H9">
        <v>164760</v>
      </c>
      <c r="I9">
        <v>9443</v>
      </c>
      <c r="J9" s="4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3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4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25">
      <c r="A10" s="35" t="s">
        <v>50</v>
      </c>
      <c r="B10">
        <v>14432</v>
      </c>
      <c r="C10">
        <v>240</v>
      </c>
      <c r="D10" s="4">
        <v>11099</v>
      </c>
      <c r="E10">
        <v>13699</v>
      </c>
      <c r="F10">
        <v>210</v>
      </c>
      <c r="G10" s="4">
        <v>12058</v>
      </c>
      <c r="H10">
        <v>15113</v>
      </c>
      <c r="I10">
        <v>363</v>
      </c>
      <c r="J10" s="4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3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4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25">
      <c r="A11" s="35" t="s">
        <v>51</v>
      </c>
      <c r="B11">
        <v>17990</v>
      </c>
      <c r="C11">
        <v>1166</v>
      </c>
      <c r="D11" s="4">
        <v>7137</v>
      </c>
      <c r="E11">
        <v>16395</v>
      </c>
      <c r="F11">
        <v>1003</v>
      </c>
      <c r="G11" s="4">
        <v>7423</v>
      </c>
      <c r="H11">
        <v>18181</v>
      </c>
      <c r="I11">
        <v>1223</v>
      </c>
      <c r="J11" s="4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3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4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25">
      <c r="A12" s="35" t="s">
        <v>52</v>
      </c>
      <c r="B12">
        <v>15117</v>
      </c>
      <c r="C12">
        <v>1613</v>
      </c>
      <c r="D12" s="4">
        <v>5828</v>
      </c>
      <c r="E12">
        <v>14138</v>
      </c>
      <c r="F12">
        <v>1200</v>
      </c>
      <c r="G12" s="4">
        <v>6212</v>
      </c>
      <c r="H12">
        <v>13455</v>
      </c>
      <c r="I12">
        <v>1400</v>
      </c>
      <c r="J12" s="4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3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4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25">
      <c r="A13" s="35" t="s">
        <v>53</v>
      </c>
      <c r="B13">
        <v>11154</v>
      </c>
      <c r="C13">
        <v>731</v>
      </c>
      <c r="D13" s="4">
        <v>8008</v>
      </c>
      <c r="E13">
        <v>11502</v>
      </c>
      <c r="F13">
        <v>499</v>
      </c>
      <c r="G13" s="4">
        <v>8953</v>
      </c>
      <c r="H13">
        <v>12031</v>
      </c>
      <c r="I13">
        <v>641</v>
      </c>
      <c r="J13" s="4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3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4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25">
      <c r="A14" s="35" t="s">
        <v>54</v>
      </c>
      <c r="B14">
        <v>11022</v>
      </c>
      <c r="C14">
        <v>550</v>
      </c>
      <c r="D14" s="4">
        <v>9000</v>
      </c>
      <c r="E14">
        <v>14644</v>
      </c>
      <c r="F14">
        <v>780</v>
      </c>
      <c r="G14" s="4">
        <v>8670</v>
      </c>
      <c r="H14">
        <v>13112</v>
      </c>
      <c r="I14">
        <v>474</v>
      </c>
      <c r="J14" s="4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3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4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25">
      <c r="A15" s="35" t="s">
        <v>55</v>
      </c>
      <c r="B15">
        <v>8905</v>
      </c>
      <c r="C15">
        <v>469</v>
      </c>
      <c r="D15" s="4">
        <v>6026</v>
      </c>
      <c r="E15">
        <v>8796</v>
      </c>
      <c r="F15">
        <v>316</v>
      </c>
      <c r="G15" s="4">
        <v>6251</v>
      </c>
      <c r="H15">
        <v>9096</v>
      </c>
      <c r="I15">
        <v>620</v>
      </c>
      <c r="J15" s="4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3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4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25">
      <c r="A16" s="35" t="s">
        <v>56</v>
      </c>
      <c r="B16">
        <v>16735</v>
      </c>
      <c r="C16">
        <v>800</v>
      </c>
      <c r="D16" s="4">
        <v>10149</v>
      </c>
      <c r="E16">
        <v>17503</v>
      </c>
      <c r="F16">
        <v>1083</v>
      </c>
      <c r="G16" s="4">
        <v>10507</v>
      </c>
      <c r="H16">
        <v>18207</v>
      </c>
      <c r="I16">
        <v>1176</v>
      </c>
      <c r="J16" s="4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3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4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25">
      <c r="A17" s="35" t="s">
        <v>57</v>
      </c>
      <c r="B17">
        <v>3635</v>
      </c>
      <c r="C17">
        <v>96</v>
      </c>
      <c r="D17" s="4">
        <v>2050</v>
      </c>
      <c r="E17">
        <v>2337</v>
      </c>
      <c r="F17">
        <v>90</v>
      </c>
      <c r="G17" s="4">
        <v>1585</v>
      </c>
      <c r="H17">
        <v>3579</v>
      </c>
      <c r="I17">
        <v>184</v>
      </c>
      <c r="J17" s="4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3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4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25">
      <c r="A18" s="35" t="s">
        <v>58</v>
      </c>
      <c r="B18">
        <v>15627</v>
      </c>
      <c r="C18">
        <v>1996</v>
      </c>
      <c r="D18" s="4">
        <v>9397</v>
      </c>
      <c r="E18">
        <v>15357</v>
      </c>
      <c r="F18">
        <v>1908</v>
      </c>
      <c r="G18" s="4">
        <v>9702</v>
      </c>
      <c r="H18">
        <v>14634</v>
      </c>
      <c r="I18">
        <v>1584</v>
      </c>
      <c r="J18" s="4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3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4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25">
      <c r="A19" s="35" t="s">
        <v>59</v>
      </c>
      <c r="B19">
        <v>7270</v>
      </c>
      <c r="C19">
        <v>150</v>
      </c>
      <c r="D19" s="4">
        <v>8948</v>
      </c>
      <c r="E19">
        <v>7119</v>
      </c>
      <c r="F19">
        <v>349</v>
      </c>
      <c r="G19" s="4">
        <v>8520</v>
      </c>
      <c r="H19">
        <v>7158</v>
      </c>
      <c r="I19">
        <v>120</v>
      </c>
      <c r="J19" s="4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3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4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25">
      <c r="A20" t="s">
        <v>60</v>
      </c>
      <c r="B20">
        <v>5955</v>
      </c>
      <c r="C20">
        <v>260</v>
      </c>
      <c r="D20" s="4">
        <v>5931</v>
      </c>
      <c r="E20">
        <v>5612</v>
      </c>
      <c r="F20">
        <v>233</v>
      </c>
      <c r="G20" s="4">
        <v>5128</v>
      </c>
      <c r="H20">
        <v>5977</v>
      </c>
      <c r="I20">
        <v>210</v>
      </c>
      <c r="J20" s="4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3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4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25">
      <c r="A21" s="35" t="s">
        <v>61</v>
      </c>
      <c r="B21">
        <v>7666</v>
      </c>
      <c r="C21">
        <v>274</v>
      </c>
      <c r="D21" s="4">
        <v>6624</v>
      </c>
      <c r="E21">
        <v>5060</v>
      </c>
      <c r="F21">
        <v>369</v>
      </c>
      <c r="G21" s="4">
        <v>5174</v>
      </c>
      <c r="H21">
        <v>7099</v>
      </c>
      <c r="I21">
        <v>230</v>
      </c>
      <c r="J21" s="4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3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4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25">
      <c r="A22" s="35" t="s">
        <v>62</v>
      </c>
      <c r="B22">
        <v>10857</v>
      </c>
      <c r="C22">
        <v>281</v>
      </c>
      <c r="D22" s="4">
        <v>4396</v>
      </c>
      <c r="E22">
        <v>10547</v>
      </c>
      <c r="F22">
        <v>281</v>
      </c>
      <c r="G22" s="4">
        <v>4979</v>
      </c>
      <c r="H22">
        <v>10799</v>
      </c>
      <c r="I22">
        <v>333</v>
      </c>
      <c r="J22" s="4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3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4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25">
      <c r="A23" s="35" t="s">
        <v>63</v>
      </c>
      <c r="B23">
        <v>9873</v>
      </c>
      <c r="C23">
        <v>370</v>
      </c>
      <c r="D23" s="4">
        <v>7076</v>
      </c>
      <c r="E23">
        <v>11069</v>
      </c>
      <c r="F23">
        <v>652</v>
      </c>
      <c r="G23" s="4">
        <v>6853</v>
      </c>
      <c r="H23">
        <v>10500</v>
      </c>
      <c r="I23">
        <v>637</v>
      </c>
      <c r="J23" s="4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3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4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25">
      <c r="A24" s="35" t="s">
        <v>64</v>
      </c>
      <c r="B24">
        <v>6405</v>
      </c>
      <c r="C24">
        <v>363</v>
      </c>
      <c r="D24" s="4">
        <v>1389</v>
      </c>
      <c r="E24">
        <v>5995</v>
      </c>
      <c r="F24">
        <v>268</v>
      </c>
      <c r="G24" s="4">
        <v>1708</v>
      </c>
      <c r="H24">
        <v>5819</v>
      </c>
      <c r="I24">
        <v>248</v>
      </c>
      <c r="J24" s="4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3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4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25">
      <c r="A25" t="s">
        <v>65</v>
      </c>
      <c r="B25">
        <v>210616</v>
      </c>
      <c r="C25">
        <v>12324.3</v>
      </c>
      <c r="D25" s="4">
        <v>95902.1</v>
      </c>
      <c r="E25">
        <v>199893.6</v>
      </c>
      <c r="F25">
        <v>9835.9000000000015</v>
      </c>
      <c r="G25" s="4">
        <v>101383.6</v>
      </c>
      <c r="H25">
        <v>198526.40000000002</v>
      </c>
      <c r="I25">
        <v>11343.8</v>
      </c>
      <c r="J25" s="4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3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4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25">
      <c r="A26" t="s">
        <v>66</v>
      </c>
      <c r="B26">
        <v>11649</v>
      </c>
      <c r="C26">
        <v>802</v>
      </c>
      <c r="D26" s="4">
        <v>5956</v>
      </c>
      <c r="E26">
        <v>10414</v>
      </c>
      <c r="F26">
        <v>536</v>
      </c>
      <c r="G26" s="4">
        <v>6713</v>
      </c>
      <c r="H26">
        <v>10593</v>
      </c>
      <c r="I26">
        <v>554</v>
      </c>
      <c r="J26" s="4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3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4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25">
      <c r="A27" t="s">
        <v>67</v>
      </c>
      <c r="B27">
        <v>7718</v>
      </c>
      <c r="C27">
        <v>876</v>
      </c>
      <c r="D27" s="4">
        <v>8432</v>
      </c>
      <c r="E27">
        <v>7282</v>
      </c>
      <c r="F27">
        <v>775</v>
      </c>
      <c r="G27" s="4">
        <v>8242</v>
      </c>
      <c r="H27">
        <v>6409</v>
      </c>
      <c r="I27">
        <v>654</v>
      </c>
      <c r="J27" s="4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3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4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25">
      <c r="A28" t="s">
        <v>68</v>
      </c>
      <c r="B28">
        <v>15033</v>
      </c>
      <c r="C28">
        <v>469</v>
      </c>
      <c r="D28" s="4">
        <v>3512</v>
      </c>
      <c r="E28">
        <v>15064</v>
      </c>
      <c r="F28">
        <v>392</v>
      </c>
      <c r="G28" s="4">
        <v>3488</v>
      </c>
      <c r="H28">
        <v>12724</v>
      </c>
      <c r="I28">
        <v>530</v>
      </c>
      <c r="J28" s="4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3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4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25">
      <c r="A29" t="s">
        <v>69</v>
      </c>
      <c r="B29">
        <v>21579</v>
      </c>
      <c r="C29">
        <v>920</v>
      </c>
      <c r="D29" s="4">
        <v>7461</v>
      </c>
      <c r="E29">
        <v>20686</v>
      </c>
      <c r="F29">
        <v>653</v>
      </c>
      <c r="G29" s="4">
        <v>8589</v>
      </c>
      <c r="H29">
        <v>20478</v>
      </c>
      <c r="I29">
        <v>658</v>
      </c>
      <c r="J29" s="4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3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4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25">
      <c r="A30" t="s">
        <v>70</v>
      </c>
      <c r="B30">
        <v>27210.600000000002</v>
      </c>
      <c r="C30">
        <v>2903.4</v>
      </c>
      <c r="D30" s="4">
        <v>10490.4</v>
      </c>
      <c r="E30">
        <v>25448.400000000001</v>
      </c>
      <c r="F30">
        <v>2160</v>
      </c>
      <c r="G30" s="4">
        <v>11181.6</v>
      </c>
      <c r="H30">
        <v>24219</v>
      </c>
      <c r="I30">
        <v>2520</v>
      </c>
      <c r="J30" s="4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4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25">
      <c r="A31" t="s">
        <v>71</v>
      </c>
      <c r="B31">
        <v>18700.5</v>
      </c>
      <c r="C31">
        <v>984.90000000000009</v>
      </c>
      <c r="D31" s="4">
        <v>12654.6</v>
      </c>
      <c r="E31">
        <v>18471.600000000002</v>
      </c>
      <c r="F31">
        <v>663.6</v>
      </c>
      <c r="G31" s="4">
        <v>13127.1</v>
      </c>
      <c r="H31">
        <v>19101.600000000002</v>
      </c>
      <c r="I31">
        <v>1302</v>
      </c>
      <c r="J31" s="4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4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25">
      <c r="A32" t="s">
        <v>72</v>
      </c>
      <c r="B32">
        <v>45315.9</v>
      </c>
      <c r="C32">
        <v>1932</v>
      </c>
      <c r="D32" s="4">
        <v>15668.1</v>
      </c>
      <c r="E32">
        <v>43440.6</v>
      </c>
      <c r="F32">
        <v>1371.3</v>
      </c>
      <c r="G32" s="4">
        <v>18036.900000000001</v>
      </c>
      <c r="H32">
        <v>43003.8</v>
      </c>
      <c r="I32">
        <v>1381.8</v>
      </c>
      <c r="J32" s="4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4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25">
      <c r="A33" t="s">
        <v>73</v>
      </c>
      <c r="B33">
        <v>35980</v>
      </c>
      <c r="C33">
        <v>2332</v>
      </c>
      <c r="D33" s="4">
        <v>14274</v>
      </c>
      <c r="E33">
        <v>32790</v>
      </c>
      <c r="F33">
        <v>2006</v>
      </c>
      <c r="G33" s="4">
        <v>14846</v>
      </c>
      <c r="H33">
        <v>36362</v>
      </c>
      <c r="I33">
        <v>2446</v>
      </c>
      <c r="J33" s="4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4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25">
      <c r="A34" t="s">
        <v>74</v>
      </c>
      <c r="B34">
        <v>7657</v>
      </c>
      <c r="C34">
        <v>276</v>
      </c>
      <c r="D34" s="4">
        <v>5353</v>
      </c>
      <c r="E34">
        <v>5307</v>
      </c>
      <c r="F34">
        <v>170</v>
      </c>
      <c r="G34" s="4">
        <v>4710</v>
      </c>
      <c r="H34">
        <v>6431</v>
      </c>
      <c r="I34">
        <v>179</v>
      </c>
      <c r="J34" s="4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3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4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25">
      <c r="A35" t="s">
        <v>75</v>
      </c>
      <c r="B35">
        <v>8126</v>
      </c>
      <c r="C35">
        <v>321</v>
      </c>
      <c r="D35" s="4">
        <v>6153</v>
      </c>
      <c r="E35">
        <v>9111</v>
      </c>
      <c r="F35">
        <v>567</v>
      </c>
      <c r="G35" s="4">
        <v>5959</v>
      </c>
      <c r="H35">
        <v>8642</v>
      </c>
      <c r="I35">
        <v>554</v>
      </c>
      <c r="J35" s="4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3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4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25">
      <c r="A36" t="s">
        <v>76</v>
      </c>
      <c r="B36">
        <v>5272</v>
      </c>
      <c r="C36">
        <v>316</v>
      </c>
      <c r="D36" s="4">
        <v>1207</v>
      </c>
      <c r="E36">
        <v>4934</v>
      </c>
      <c r="F36">
        <v>233</v>
      </c>
      <c r="G36" s="4">
        <v>1485</v>
      </c>
      <c r="H36">
        <v>4789</v>
      </c>
      <c r="I36">
        <v>215</v>
      </c>
      <c r="J36" s="4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3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4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25">
      <c r="A37" t="s">
        <v>77</v>
      </c>
      <c r="B37">
        <v>6375</v>
      </c>
      <c r="C37">
        <v>192</v>
      </c>
      <c r="D37" s="4">
        <v>4741</v>
      </c>
      <c r="E37">
        <v>6945</v>
      </c>
      <c r="F37">
        <v>309</v>
      </c>
      <c r="G37" s="4">
        <v>5006</v>
      </c>
      <c r="H37">
        <v>5774</v>
      </c>
      <c r="I37">
        <v>350</v>
      </c>
      <c r="J37" s="4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3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4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25">
      <c r="A38" t="s">
        <v>78</v>
      </c>
      <c r="B38">
        <v>189978.5</v>
      </c>
      <c r="C38">
        <v>8869.2000000000007</v>
      </c>
      <c r="D38" s="4">
        <v>91467.1</v>
      </c>
      <c r="E38">
        <v>187118.2</v>
      </c>
      <c r="F38">
        <v>7865.9000000000005</v>
      </c>
      <c r="G38" s="4">
        <v>97100.299999999988</v>
      </c>
      <c r="H38">
        <v>181464.8</v>
      </c>
      <c r="I38">
        <v>8122.2</v>
      </c>
      <c r="J38" s="4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4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25">
      <c r="A39" s="35" t="s">
        <v>79</v>
      </c>
      <c r="B39">
        <v>6353</v>
      </c>
      <c r="C39">
        <v>762</v>
      </c>
      <c r="D39" s="4">
        <v>7332</v>
      </c>
      <c r="E39">
        <v>5993</v>
      </c>
      <c r="F39">
        <v>674</v>
      </c>
      <c r="G39" s="4">
        <v>7167</v>
      </c>
      <c r="H39">
        <v>5275</v>
      </c>
      <c r="I39">
        <v>568</v>
      </c>
      <c r="J39" s="4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3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4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25">
      <c r="A40" s="35" t="s">
        <v>80</v>
      </c>
      <c r="B40">
        <v>12373</v>
      </c>
      <c r="C40">
        <v>408</v>
      </c>
      <c r="D40" s="4">
        <v>3054</v>
      </c>
      <c r="E40">
        <v>12398</v>
      </c>
      <c r="F40">
        <v>341</v>
      </c>
      <c r="G40" s="4">
        <v>3033</v>
      </c>
      <c r="H40">
        <v>10472</v>
      </c>
      <c r="I40">
        <v>461</v>
      </c>
      <c r="J40" s="4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3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4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25">
      <c r="A41" s="35" t="s">
        <v>81</v>
      </c>
      <c r="B41">
        <v>17760</v>
      </c>
      <c r="C41">
        <v>800</v>
      </c>
      <c r="D41" s="4">
        <v>6488</v>
      </c>
      <c r="E41">
        <v>17025</v>
      </c>
      <c r="F41">
        <v>568</v>
      </c>
      <c r="G41" s="4">
        <v>7469</v>
      </c>
      <c r="H41">
        <v>16854</v>
      </c>
      <c r="I41">
        <v>572</v>
      </c>
      <c r="J41" s="4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3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4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25">
      <c r="A42" s="35" t="s">
        <v>82</v>
      </c>
      <c r="B42">
        <v>30399.599999999999</v>
      </c>
      <c r="C42">
        <v>786.8</v>
      </c>
      <c r="D42" s="4">
        <v>12308.8</v>
      </c>
      <c r="E42">
        <v>29531.599999999999</v>
      </c>
      <c r="F42">
        <v>786.8</v>
      </c>
      <c r="G42" s="4">
        <v>13941.199999999999</v>
      </c>
      <c r="H42">
        <v>30237.199999999997</v>
      </c>
      <c r="I42">
        <v>932.4</v>
      </c>
      <c r="J42" s="4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4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25">
      <c r="A43" s="35" t="s">
        <v>83</v>
      </c>
      <c r="B43">
        <v>20400</v>
      </c>
      <c r="C43">
        <v>614.40000000000009</v>
      </c>
      <c r="D43" s="4">
        <v>15171.2</v>
      </c>
      <c r="E43">
        <v>22224</v>
      </c>
      <c r="F43">
        <v>988.80000000000007</v>
      </c>
      <c r="G43" s="4">
        <v>16019.2</v>
      </c>
      <c r="H43">
        <v>18476.8</v>
      </c>
      <c r="I43">
        <v>1120</v>
      </c>
      <c r="J43" s="4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4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25">
      <c r="A44" s="35" t="s">
        <v>84</v>
      </c>
      <c r="B44">
        <v>21088</v>
      </c>
      <c r="C44">
        <v>1264</v>
      </c>
      <c r="D44" s="4">
        <v>4828</v>
      </c>
      <c r="E44">
        <v>19736</v>
      </c>
      <c r="F44">
        <v>932</v>
      </c>
      <c r="G44" s="4">
        <v>5940</v>
      </c>
      <c r="H44">
        <v>19156</v>
      </c>
      <c r="I44">
        <v>860</v>
      </c>
      <c r="J44" s="4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4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25">
      <c r="A45" t="s">
        <v>85</v>
      </c>
      <c r="B45">
        <v>23736.9</v>
      </c>
      <c r="C45">
        <v>1012.0000000000001</v>
      </c>
      <c r="D45" s="4">
        <v>8207.1</v>
      </c>
      <c r="E45">
        <v>22754.600000000002</v>
      </c>
      <c r="F45">
        <v>718.30000000000007</v>
      </c>
      <c r="G45" s="4">
        <v>9447.9000000000015</v>
      </c>
      <c r="H45">
        <v>22525.800000000003</v>
      </c>
      <c r="I45">
        <v>723.80000000000007</v>
      </c>
      <c r="J45" s="4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4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25">
      <c r="A46" s="35" t="s">
        <v>86</v>
      </c>
      <c r="B46">
        <v>6302</v>
      </c>
      <c r="C46">
        <v>240</v>
      </c>
      <c r="D46" s="4">
        <v>4655</v>
      </c>
      <c r="E46">
        <v>5400</v>
      </c>
      <c r="F46">
        <v>190</v>
      </c>
      <c r="G46" s="4">
        <v>4096</v>
      </c>
      <c r="H46">
        <v>5293</v>
      </c>
      <c r="I46">
        <v>156</v>
      </c>
      <c r="J46" s="4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3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4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25">
      <c r="A47" s="35" t="s">
        <v>87</v>
      </c>
      <c r="B47">
        <v>10675</v>
      </c>
      <c r="C47">
        <v>128</v>
      </c>
      <c r="D47" s="4">
        <v>8210</v>
      </c>
      <c r="E47">
        <v>10133</v>
      </c>
      <c r="F47">
        <v>89</v>
      </c>
      <c r="G47" s="4">
        <v>8179</v>
      </c>
      <c r="H47">
        <v>11178</v>
      </c>
      <c r="I47">
        <v>190</v>
      </c>
      <c r="J47" s="4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3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4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25">
      <c r="A48" s="35" t="s">
        <v>88</v>
      </c>
      <c r="B48">
        <v>13307</v>
      </c>
      <c r="C48">
        <v>862</v>
      </c>
      <c r="D48" s="4">
        <v>5279</v>
      </c>
      <c r="E48">
        <v>12127</v>
      </c>
      <c r="F48">
        <v>742</v>
      </c>
      <c r="G48" s="4">
        <v>5491</v>
      </c>
      <c r="H48">
        <v>13448</v>
      </c>
      <c r="I48">
        <v>905</v>
      </c>
      <c r="J48" s="4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3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4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25">
      <c r="A49" s="35" t="s">
        <v>89</v>
      </c>
      <c r="B49">
        <v>11182</v>
      </c>
      <c r="C49">
        <v>1193</v>
      </c>
      <c r="D49" s="4">
        <v>4311</v>
      </c>
      <c r="E49">
        <v>10457</v>
      </c>
      <c r="F49">
        <v>890</v>
      </c>
      <c r="G49" s="4">
        <v>4595</v>
      </c>
      <c r="H49">
        <v>9952</v>
      </c>
      <c r="I49">
        <v>810</v>
      </c>
      <c r="J49" s="4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3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4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25">
      <c r="A50" s="35" t="s">
        <v>90</v>
      </c>
      <c r="B50">
        <v>8250</v>
      </c>
      <c r="C50">
        <v>541</v>
      </c>
      <c r="D50" s="4">
        <v>5923</v>
      </c>
      <c r="E50">
        <v>8507</v>
      </c>
      <c r="F50">
        <v>369</v>
      </c>
      <c r="G50" s="4">
        <v>6622</v>
      </c>
      <c r="H50">
        <v>8899</v>
      </c>
      <c r="I50">
        <v>474</v>
      </c>
      <c r="J50" s="4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3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4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25">
      <c r="A51" s="35" t="s">
        <v>91</v>
      </c>
      <c r="B51">
        <v>8152</v>
      </c>
      <c r="C51">
        <v>258</v>
      </c>
      <c r="D51" s="4">
        <v>5700</v>
      </c>
      <c r="E51">
        <v>10832</v>
      </c>
      <c r="F51">
        <v>577</v>
      </c>
      <c r="G51" s="4">
        <v>5100</v>
      </c>
      <c r="H51">
        <v>9698</v>
      </c>
      <c r="I51">
        <v>350</v>
      </c>
      <c r="J51" s="4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3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4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Dashboard</vt:lpstr>
      <vt:lpstr>calculation</vt:lpstr>
      <vt:lpstr>wireframe</vt:lpstr>
      <vt:lpstr>datasets</vt:lpstr>
      <vt:lpstr>CM</vt:lpstr>
      <vt:lpstr>CY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Tegar</dc:creator>
  <cp:lastModifiedBy>baha.t.r</cp:lastModifiedBy>
  <dcterms:created xsi:type="dcterms:W3CDTF">2015-06-05T18:17:20Z</dcterms:created>
  <dcterms:modified xsi:type="dcterms:W3CDTF">2024-11-04T08:52:56Z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