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ha Tegar\Desktop\aspect-based-sentiment-analysis-demo1\"/>
    </mc:Choice>
  </mc:AlternateContent>
  <xr:revisionPtr revIDLastSave="0" documentId="13_ncr:1_{9C2F76D7-46BD-45CE-A322-56405BF9BEF1}" xr6:coauthVersionLast="47" xr6:coauthVersionMax="47" xr10:uidLastSave="{00000000-0000-0000-0000-000000000000}"/>
  <bookViews>
    <workbookView xWindow="-108" yWindow="-108" windowWidth="23256" windowHeight="12456" xr2:uid="{489A9BC2-66B7-413B-9366-3D8F02E0650D}"/>
  </bookViews>
  <sheets>
    <sheet name="dashboard" sheetId="7" r:id="rId1"/>
    <sheet name="swot" sheetId="8" r:id="rId2"/>
    <sheet name="calculation" sheetId="4" r:id="rId3"/>
    <sheet name="database" sheetId="3" r:id="rId4"/>
  </sheets>
  <definedNames>
    <definedName name="_xlcn.WorksheetConnection_dashboardsentiment.xlsxTable21" hidden="1">Table2[]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dashboard-sentiment.xlsx!Table2"/>
        </x15:modelTables>
      </x15:dataModel>
    </ext>
  </extLst>
</workbook>
</file>

<file path=xl/calcChain.xml><?xml version="1.0" encoding="utf-8"?>
<calcChain xmlns="http://schemas.openxmlformats.org/spreadsheetml/2006/main">
  <c r="D6" i="7" l="1"/>
  <c r="C20" i="4"/>
  <c r="C19" i="4"/>
  <c r="K85" i="4"/>
  <c r="K86" i="4"/>
  <c r="K87" i="4"/>
  <c r="K88" i="4"/>
  <c r="K89" i="4"/>
  <c r="K90" i="4"/>
  <c r="K91" i="4"/>
  <c r="K92" i="4"/>
  <c r="K93" i="4"/>
  <c r="K94" i="4"/>
  <c r="K95" i="4"/>
  <c r="J85" i="4"/>
  <c r="J86" i="4"/>
  <c r="J87" i="4"/>
  <c r="J88" i="4"/>
  <c r="J89" i="4"/>
  <c r="J90" i="4"/>
  <c r="J91" i="4"/>
  <c r="J92" i="4"/>
  <c r="J93" i="4"/>
  <c r="J94" i="4"/>
  <c r="J95" i="4"/>
  <c r="K77" i="4"/>
  <c r="K78" i="4"/>
  <c r="K79" i="4"/>
  <c r="K80" i="4"/>
  <c r="K81" i="4"/>
  <c r="K82" i="4"/>
  <c r="K83" i="4"/>
  <c r="K84" i="4"/>
  <c r="K76" i="4"/>
  <c r="J77" i="4"/>
  <c r="J78" i="4"/>
  <c r="J79" i="4"/>
  <c r="J80" i="4"/>
  <c r="J81" i="4"/>
  <c r="J82" i="4"/>
  <c r="J83" i="4"/>
  <c r="J84" i="4"/>
  <c r="J76" i="4"/>
  <c r="AL10" i="4"/>
  <c r="L94" i="4"/>
  <c r="L86" i="4"/>
  <c r="L90" i="4"/>
  <c r="L84" i="4"/>
  <c r="L92" i="4"/>
  <c r="L95" i="4"/>
  <c r="L77" i="4"/>
  <c r="L79" i="4"/>
  <c r="L89" i="4"/>
  <c r="L88" i="4"/>
  <c r="L83" i="4"/>
  <c r="L91" i="4"/>
  <c r="L93" i="4"/>
  <c r="L81" i="4"/>
  <c r="L82" i="4"/>
  <c r="L85" i="4"/>
  <c r="L76" i="4"/>
  <c r="L87" i="4"/>
  <c r="L80" i="4"/>
  <c r="L78" i="4"/>
  <c r="O83" i="4" l="1"/>
  <c r="O82" i="4"/>
  <c r="O84" i="4"/>
  <c r="O79" i="4"/>
  <c r="O81" i="4"/>
  <c r="O78" i="4"/>
  <c r="O80" i="4"/>
  <c r="O77" i="4"/>
  <c r="O93" i="4"/>
  <c r="O89" i="4"/>
  <c r="O88" i="4"/>
  <c r="O95" i="4"/>
  <c r="O90" i="4"/>
  <c r="O87" i="4"/>
  <c r="O91" i="4"/>
  <c r="O86" i="4"/>
  <c r="O94" i="4"/>
  <c r="O92" i="4"/>
  <c r="O85" i="4"/>
  <c r="N83" i="4"/>
  <c r="N82" i="4"/>
  <c r="N84" i="4"/>
  <c r="N79" i="4"/>
  <c r="N81" i="4"/>
  <c r="N78" i="4"/>
  <c r="N80" i="4"/>
  <c r="N77" i="4"/>
  <c r="N93" i="4"/>
  <c r="N89" i="4"/>
  <c r="N88" i="4"/>
  <c r="N95" i="4"/>
  <c r="N90" i="4"/>
  <c r="N87" i="4"/>
  <c r="N91" i="4"/>
  <c r="N86" i="4"/>
  <c r="N94" i="4"/>
  <c r="N92" i="4"/>
  <c r="N85" i="4"/>
  <c r="M84" i="4"/>
  <c r="M93" i="4"/>
  <c r="M89" i="4"/>
  <c r="M88" i="4"/>
  <c r="M95" i="4"/>
  <c r="M90" i="4"/>
  <c r="M87" i="4"/>
  <c r="M91" i="4"/>
  <c r="M86" i="4"/>
  <c r="M94" i="4"/>
  <c r="M92" i="4"/>
  <c r="M85" i="4"/>
  <c r="M83" i="4"/>
  <c r="M82" i="4"/>
  <c r="M79" i="4"/>
  <c r="M81" i="4"/>
  <c r="M78" i="4"/>
  <c r="M80" i="4"/>
  <c r="M77" i="4"/>
  <c r="O76" i="4"/>
  <c r="N76" i="4"/>
  <c r="M76" i="4"/>
  <c r="Y12" i="4"/>
  <c r="Y11" i="4"/>
  <c r="Y10" i="4"/>
  <c r="Y16" i="4"/>
  <c r="Y13" i="4"/>
  <c r="Y21" i="4"/>
  <c r="Y20" i="4"/>
  <c r="Y17" i="4"/>
  <c r="Y14" i="4"/>
  <c r="Y19" i="4"/>
  <c r="Y15" i="4"/>
  <c r="Y22" i="4"/>
  <c r="Y18" i="4"/>
  <c r="AF10" i="4"/>
  <c r="W79" i="4" l="1"/>
  <c r="V79" i="4"/>
  <c r="W80" i="4"/>
  <c r="V80" i="4"/>
  <c r="V81" i="4"/>
  <c r="W81" i="4"/>
  <c r="V77" i="4"/>
  <c r="W77" i="4"/>
  <c r="V82" i="4"/>
  <c r="W82" i="4"/>
  <c r="V78" i="4"/>
  <c r="W78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39" i="4"/>
  <c r="Z62" i="4" l="1"/>
  <c r="Z50" i="4"/>
  <c r="Z69" i="4"/>
  <c r="Z57" i="4"/>
  <c r="Z45" i="4"/>
  <c r="Z61" i="4"/>
  <c r="Z49" i="4"/>
  <c r="Z68" i="4"/>
  <c r="Z56" i="4"/>
  <c r="Z44" i="4"/>
  <c r="Z60" i="4"/>
  <c r="Z48" i="4"/>
  <c r="Z67" i="4"/>
  <c r="Z55" i="4"/>
  <c r="Z43" i="4"/>
  <c r="Z66" i="4"/>
  <c r="Z54" i="4"/>
  <c r="Z42" i="4"/>
  <c r="Z65" i="4"/>
  <c r="Z53" i="4"/>
  <c r="Z41" i="4"/>
  <c r="Z64" i="4"/>
  <c r="Z52" i="4"/>
  <c r="Z40" i="4"/>
  <c r="Z59" i="4"/>
  <c r="Z47" i="4"/>
  <c r="Z63" i="4"/>
  <c r="Z51" i="4"/>
  <c r="Z39" i="4"/>
  <c r="AA39" i="4" s="1"/>
  <c r="Z58" i="4"/>
  <c r="Z46" i="4"/>
  <c r="AA52" i="4" l="1"/>
  <c r="AA44" i="4"/>
  <c r="AA41" i="4"/>
  <c r="AA60" i="4"/>
  <c r="AA42" i="4"/>
  <c r="AA57" i="4"/>
  <c r="AA68" i="4"/>
  <c r="AA49" i="4"/>
  <c r="AA54" i="4"/>
  <c r="AA51" i="4"/>
  <c r="AA43" i="4"/>
  <c r="AA47" i="4"/>
  <c r="AA55" i="4"/>
  <c r="AA69" i="4"/>
  <c r="AA64" i="4"/>
  <c r="AA53" i="4"/>
  <c r="AA65" i="4"/>
  <c r="AA61" i="4"/>
  <c r="AA45" i="4"/>
  <c r="AA59" i="4"/>
  <c r="AA67" i="4"/>
  <c r="AA50" i="4"/>
  <c r="AA56" i="4"/>
  <c r="AA46" i="4"/>
  <c r="AA58" i="4"/>
  <c r="AA66" i="4"/>
  <c r="AA63" i="4"/>
  <c r="AA40" i="4"/>
  <c r="AA48" i="4"/>
  <c r="AA62" i="4"/>
  <c r="AC43" i="4" l="1"/>
  <c r="AE43" i="4" s="1"/>
  <c r="AC41" i="4"/>
  <c r="AG41" i="4" s="1"/>
  <c r="AC49" i="4"/>
  <c r="AC50" i="4"/>
  <c r="AD50" i="4" s="1"/>
  <c r="AC61" i="4"/>
  <c r="AH61" i="4" s="1"/>
  <c r="AC40" i="4"/>
  <c r="AG40" i="4" s="1"/>
  <c r="AD43" i="4"/>
  <c r="AG43" i="4"/>
  <c r="AF43" i="4"/>
  <c r="AH43" i="4"/>
  <c r="AC60" i="4"/>
  <c r="AC53" i="4"/>
  <c r="AC62" i="4"/>
  <c r="AC63" i="4"/>
  <c r="AC58" i="4"/>
  <c r="AC45" i="4"/>
  <c r="AC56" i="4"/>
  <c r="AC59" i="4"/>
  <c r="AC42" i="4"/>
  <c r="AD49" i="4"/>
  <c r="AG49" i="4"/>
  <c r="AE49" i="4"/>
  <c r="AH49" i="4"/>
  <c r="AF49" i="4"/>
  <c r="AC66" i="4"/>
  <c r="AC48" i="4"/>
  <c r="AC52" i="4"/>
  <c r="AC47" i="4"/>
  <c r="AC69" i="4"/>
  <c r="AC67" i="4"/>
  <c r="AC46" i="4"/>
  <c r="AC57" i="4"/>
  <c r="AC55" i="4"/>
  <c r="AC65" i="4"/>
  <c r="AD41" i="4"/>
  <c r="AH41" i="4"/>
  <c r="AF41" i="4"/>
  <c r="AE41" i="4"/>
  <c r="AC64" i="4"/>
  <c r="AC51" i="4"/>
  <c r="AC39" i="4"/>
  <c r="AC44" i="4"/>
  <c r="AC68" i="4"/>
  <c r="AC54" i="4"/>
  <c r="C18" i="4"/>
  <c r="AM10" i="4"/>
  <c r="AN11" i="4"/>
  <c r="AN12" i="4"/>
  <c r="AN10" i="4"/>
  <c r="AM11" i="4"/>
  <c r="AL11" i="4"/>
  <c r="AM12" i="4"/>
  <c r="AL12" i="4"/>
  <c r="AE61" i="4" l="1"/>
  <c r="AD61" i="4"/>
  <c r="AE50" i="4"/>
  <c r="AG50" i="4"/>
  <c r="AH50" i="4"/>
  <c r="AF50" i="4"/>
  <c r="AF40" i="4"/>
  <c r="AE40" i="4"/>
  <c r="AH40" i="4"/>
  <c r="AD40" i="4"/>
  <c r="AF61" i="4"/>
  <c r="AG61" i="4"/>
  <c r="AD66" i="4"/>
  <c r="AG66" i="4"/>
  <c r="AE66" i="4"/>
  <c r="AH66" i="4"/>
  <c r="AF66" i="4"/>
  <c r="AD60" i="4"/>
  <c r="AF60" i="4"/>
  <c r="AG60" i="4"/>
  <c r="AE60" i="4"/>
  <c r="AH60" i="4"/>
  <c r="AD55" i="4"/>
  <c r="AE55" i="4"/>
  <c r="AF55" i="4"/>
  <c r="AG55" i="4"/>
  <c r="AH55" i="4"/>
  <c r="AD57" i="4"/>
  <c r="AG57" i="4"/>
  <c r="AE57" i="4"/>
  <c r="AH57" i="4"/>
  <c r="AF57" i="4"/>
  <c r="AD46" i="4"/>
  <c r="AG46" i="4"/>
  <c r="AF46" i="4"/>
  <c r="AE46" i="4"/>
  <c r="AH46" i="4"/>
  <c r="AD39" i="4"/>
  <c r="AG39" i="4"/>
  <c r="AF39" i="4"/>
  <c r="AE39" i="4"/>
  <c r="AH39" i="4"/>
  <c r="AD67" i="4"/>
  <c r="AE67" i="4"/>
  <c r="AH67" i="4"/>
  <c r="AF67" i="4"/>
  <c r="AG67" i="4"/>
  <c r="AD59" i="4"/>
  <c r="AG59" i="4"/>
  <c r="AH59" i="4"/>
  <c r="AF59" i="4"/>
  <c r="AE59" i="4"/>
  <c r="AD63" i="4"/>
  <c r="AF63" i="4"/>
  <c r="AH63" i="4"/>
  <c r="AG63" i="4"/>
  <c r="AE63" i="4"/>
  <c r="AD62" i="4"/>
  <c r="AF62" i="4"/>
  <c r="AE62" i="4"/>
  <c r="AG62" i="4"/>
  <c r="AH62" i="4"/>
  <c r="AD53" i="4"/>
  <c r="AH53" i="4"/>
  <c r="AE53" i="4"/>
  <c r="AF53" i="4"/>
  <c r="AG53" i="4"/>
  <c r="AD65" i="4"/>
  <c r="AH65" i="4"/>
  <c r="AG65" i="4"/>
  <c r="AE65" i="4"/>
  <c r="AF65" i="4"/>
  <c r="AD44" i="4"/>
  <c r="AE44" i="4"/>
  <c r="AF44" i="4"/>
  <c r="AH44" i="4"/>
  <c r="AP47" i="4" s="1"/>
  <c r="AG44" i="4"/>
  <c r="AO47" i="4" s="1"/>
  <c r="AD69" i="4"/>
  <c r="AG69" i="4"/>
  <c r="AF69" i="4"/>
  <c r="AE69" i="4"/>
  <c r="AH69" i="4"/>
  <c r="AD56" i="4"/>
  <c r="AE56" i="4"/>
  <c r="AG56" i="4"/>
  <c r="AH56" i="4"/>
  <c r="AF56" i="4"/>
  <c r="AD42" i="4"/>
  <c r="AH42" i="4"/>
  <c r="AF42" i="4"/>
  <c r="AE42" i="4"/>
  <c r="AG42" i="4"/>
  <c r="AD64" i="4"/>
  <c r="AH64" i="4"/>
  <c r="AG64" i="4"/>
  <c r="AF64" i="4"/>
  <c r="AE64" i="4"/>
  <c r="AD47" i="4"/>
  <c r="AH47" i="4"/>
  <c r="AG47" i="4"/>
  <c r="AE47" i="4"/>
  <c r="AF47" i="4"/>
  <c r="AD45" i="4"/>
  <c r="AG45" i="4"/>
  <c r="AE45" i="4"/>
  <c r="AH45" i="4"/>
  <c r="AF45" i="4"/>
  <c r="AD48" i="4"/>
  <c r="AF48" i="4"/>
  <c r="AE48" i="4"/>
  <c r="AH48" i="4"/>
  <c r="AG48" i="4"/>
  <c r="AD54" i="4"/>
  <c r="AH54" i="4"/>
  <c r="AG54" i="4"/>
  <c r="AF54" i="4"/>
  <c r="AE54" i="4"/>
  <c r="AD68" i="4"/>
  <c r="AE68" i="4"/>
  <c r="AF68" i="4"/>
  <c r="AH68" i="4"/>
  <c r="AG68" i="4"/>
  <c r="AD51" i="4"/>
  <c r="AF51" i="4"/>
  <c r="AG51" i="4"/>
  <c r="AE51" i="4"/>
  <c r="AH51" i="4"/>
  <c r="AD52" i="4"/>
  <c r="AH52" i="4"/>
  <c r="AF52" i="4"/>
  <c r="AG52" i="4"/>
  <c r="AE52" i="4"/>
  <c r="AD58" i="4"/>
  <c r="AG58" i="4"/>
  <c r="AH58" i="4"/>
  <c r="AE58" i="4"/>
  <c r="AF58" i="4"/>
  <c r="AO11" i="4"/>
  <c r="AQ11" i="4" s="1"/>
  <c r="AO10" i="4"/>
  <c r="AP10" i="4" s="1"/>
  <c r="AO12" i="4"/>
  <c r="AQ12" i="4" s="1"/>
  <c r="AL47" i="4" l="1"/>
  <c r="AM47" i="4"/>
  <c r="AN47" i="4"/>
  <c r="AN45" i="4"/>
  <c r="AL45" i="4"/>
  <c r="AP45" i="4"/>
  <c r="AO45" i="4"/>
  <c r="AM45" i="4"/>
  <c r="AL44" i="4"/>
  <c r="AN44" i="4"/>
  <c r="AP44" i="4"/>
  <c r="AM44" i="4"/>
  <c r="AO44" i="4"/>
  <c r="AL43" i="4"/>
  <c r="AM43" i="4"/>
  <c r="AN43" i="4"/>
  <c r="AO43" i="4"/>
  <c r="AP43" i="4"/>
  <c r="AM46" i="4"/>
  <c r="AN46" i="4"/>
  <c r="AP46" i="4"/>
  <c r="AL46" i="4"/>
  <c r="AO46" i="4"/>
  <c r="AR12" i="4"/>
  <c r="AQ10" i="4"/>
  <c r="AR11" i="4"/>
  <c r="AP11" i="4"/>
  <c r="AP12" i="4"/>
  <c r="AR10" i="4"/>
  <c r="AD35" i="4"/>
  <c r="AD34" i="4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AA8" i="4"/>
  <c r="AF21" i="4"/>
  <c r="Z11" i="4"/>
  <c r="AB10" i="4"/>
  <c r="AB11" i="4"/>
  <c r="AB17" i="4"/>
  <c r="AB20" i="4"/>
  <c r="AA21" i="4"/>
  <c r="AA14" i="4"/>
  <c r="AA20" i="4"/>
  <c r="AH16" i="4"/>
  <c r="AA12" i="4"/>
  <c r="Z14" i="4"/>
  <c r="AA18" i="4"/>
  <c r="AG11" i="4"/>
  <c r="Z22" i="4"/>
  <c r="Z15" i="4"/>
  <c r="AG17" i="4"/>
  <c r="Z17" i="4"/>
  <c r="AB19" i="4"/>
  <c r="AH15" i="4"/>
  <c r="AB14" i="4"/>
  <c r="AG12" i="4"/>
  <c r="AG15" i="4"/>
  <c r="AH12" i="4"/>
  <c r="AA19" i="4"/>
  <c r="Z13" i="4"/>
  <c r="AF19" i="4"/>
  <c r="AB12" i="4"/>
  <c r="AH14" i="4"/>
  <c r="AF15" i="4"/>
  <c r="Z16" i="4"/>
  <c r="Z20" i="4"/>
  <c r="AH20" i="4"/>
  <c r="AB16" i="4"/>
  <c r="AG18" i="4"/>
  <c r="AA16" i="4"/>
  <c r="AH13" i="4"/>
  <c r="AG22" i="4"/>
  <c r="AH22" i="4"/>
  <c r="AH10" i="4"/>
  <c r="AG21" i="4"/>
  <c r="AH19" i="4"/>
  <c r="Z18" i="4"/>
  <c r="AB18" i="4"/>
  <c r="AG13" i="4"/>
  <c r="AF12" i="4"/>
  <c r="AB15" i="4"/>
  <c r="AG10" i="4"/>
  <c r="Z19" i="4"/>
  <c r="AF22" i="4"/>
  <c r="AF18" i="4"/>
  <c r="AF11" i="4"/>
  <c r="AA17" i="4"/>
  <c r="AF16" i="4"/>
  <c r="AB13" i="4"/>
  <c r="AB21" i="4"/>
  <c r="AA13" i="4"/>
  <c r="Z12" i="4"/>
  <c r="AA10" i="4"/>
  <c r="AH18" i="4"/>
  <c r="AH11" i="4"/>
  <c r="AF13" i="4"/>
  <c r="AA11" i="4"/>
  <c r="AF17" i="4"/>
  <c r="AA15" i="4"/>
  <c r="AA22" i="4"/>
  <c r="AG20" i="4"/>
  <c r="AH17" i="4"/>
  <c r="AH21" i="4"/>
  <c r="AF20" i="4"/>
  <c r="AF14" i="4"/>
  <c r="AB22" i="4"/>
  <c r="AG19" i="4"/>
  <c r="Z10" i="4"/>
  <c r="AI11" i="4" l="1"/>
  <c r="AI19" i="4"/>
  <c r="AI18" i="4"/>
  <c r="AI13" i="4"/>
  <c r="AI10" i="4"/>
  <c r="AI20" i="4"/>
  <c r="AI21" i="4"/>
  <c r="AI22" i="4"/>
  <c r="AI12" i="4"/>
  <c r="AI15" i="4"/>
  <c r="AI17" i="4"/>
  <c r="AC10" i="4"/>
  <c r="AC15" i="4"/>
  <c r="AC13" i="4"/>
  <c r="AC17" i="4"/>
  <c r="AC14" i="4"/>
  <c r="AC12" i="4"/>
  <c r="AC11" i="4"/>
  <c r="AC22" i="4"/>
  <c r="AC20" i="4"/>
  <c r="AC18" i="4"/>
  <c r="AC16" i="4"/>
  <c r="AC19" i="4"/>
  <c r="AG16" i="4"/>
  <c r="Z21" i="4"/>
  <c r="AG14" i="4"/>
  <c r="AC21" i="4" l="1"/>
  <c r="AI16" i="4"/>
  <c r="AI14" i="4"/>
  <c r="Z23" i="4"/>
  <c r="AB23" i="4"/>
  <c r="AA2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021CE6-9C40-446D-B5F2-B66929E7A5E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5411B45-4AB6-43E0-8029-19D645CC8100}" name="WorksheetConnection_dashboard-sentiment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dashboardsentiment.xlsxTable21"/>
        </x15:connection>
      </ext>
    </extLst>
  </connection>
</connections>
</file>

<file path=xl/sharedStrings.xml><?xml version="1.0" encoding="utf-8"?>
<sst xmlns="http://schemas.openxmlformats.org/spreadsheetml/2006/main" count="1378" uniqueCount="569">
  <si>
    <t>id</t>
  </si>
  <si>
    <t>review</t>
  </si>
  <si>
    <t>aspect</t>
  </si>
  <si>
    <t>date</t>
  </si>
  <si>
    <t>sentiment</t>
  </si>
  <si>
    <t>topic_dominant</t>
  </si>
  <si>
    <t>topic_contribution</t>
  </si>
  <si>
    <t>The staff were incredibly helpful and patient, helping me find the perfect phone!</t>
  </si>
  <si>
    <t>Neutral</t>
  </si>
  <si>
    <t>I had a great experience purchasing my phone here, the process was smooth and quick.</t>
  </si>
  <si>
    <t>Positive</t>
  </si>
  <si>
    <t>Their selection of phones is amazing, and the prices are very competitive!</t>
  </si>
  <si>
    <t>I appreciate how the staff walked me through setting up my new device.</t>
  </si>
  <si>
    <t>Great customer service, I left with the phone I wanted and all my questions answered.</t>
  </si>
  <si>
    <t>They offer amazing deals on phones, I couldn’t resist upgrading.</t>
  </si>
  <si>
    <t>The technician fixed my phone’s issue faster than I expected. Highly recommend!</t>
  </si>
  <si>
    <t>Fantastic experience, the staff really know their stuff!</t>
  </si>
  <si>
    <t>I found the perfect phone case here, and the variety was impressive.</t>
  </si>
  <si>
    <t>Upgrading my phone was a breeze thanks to their professional service.</t>
  </si>
  <si>
    <t>Staff was knowledgeable and made sure I knew everything about my new phone.</t>
  </si>
  <si>
    <t>Prices were reasonable and the staff very courteous!</t>
  </si>
  <si>
    <t>Very happy with my purchase, the staff really went the extra mile.</t>
  </si>
  <si>
    <t>Excellent service! They helped me find exactly what I was looking for.</t>
  </si>
  <si>
    <t>Great deals on accessories, and the staff was super friendly!</t>
  </si>
  <si>
    <t>I love this store! Always a smooth experience buying or fixing my phone.</t>
  </si>
  <si>
    <t>I got a really good trade-in deal on my old phone.</t>
  </si>
  <si>
    <t>Their repair services are quick and reliable.</t>
  </si>
  <si>
    <t>The staff was extremely helpful in setting up my phone and transferring all my data.</t>
  </si>
  <si>
    <t>Very professional and friendly service, I’m super satisfied!</t>
  </si>
  <si>
    <t>Great variety of phones, and the staff was very patient with my questions.</t>
  </si>
  <si>
    <t>The process was super simple, and I’m thrilled with my new phone.</t>
  </si>
  <si>
    <t>They helped me choose a phone within my budget, which I really appreciated.</t>
  </si>
  <si>
    <t>My phone was fixed in less than 30 minutes, such fast service!</t>
  </si>
  <si>
    <t>I’m a loyal customer because their customer service is always outstanding.</t>
  </si>
  <si>
    <t>Best phone store in town, hands down!</t>
  </si>
  <si>
    <t>The staff made sure I was completely comfortable with my purchase.</t>
  </si>
  <si>
    <t>I found exactly what I needed, and they helped me get a great deal.</t>
  </si>
  <si>
    <t>This store has a fantastic warranty service!</t>
  </si>
  <si>
    <t>The staff was very informative, I learned a lot about phone features I didn’t know about.</t>
  </si>
  <si>
    <t>Excellent store for buying phone accessories, so much variety!</t>
  </si>
  <si>
    <t>The phone I bought here is working perfectly, couldn’t be happier.</t>
  </si>
  <si>
    <t>They were super quick in setting up my phone, I was out of there in no time.</t>
  </si>
  <si>
    <t>Always come here for upgrades, they never disappoint!</t>
  </si>
  <si>
    <t>The store layout is easy to navigate and staff are always ready to help.</t>
  </si>
  <si>
    <t>Best pricing for phone plans, they helped me save a lot!</t>
  </si>
  <si>
    <t>I’ve been to many phone stores, but this one by far provides the best service.</t>
  </si>
  <si>
    <t>Customer service here is top-notch, they always resolve my issues quickly.</t>
  </si>
  <si>
    <t>I always recommend this store to friends and family, they never fail to impress.</t>
  </si>
  <si>
    <t>The staff took the time to show me all my options, no pressure sales.</t>
  </si>
  <si>
    <t>Amazing place to buy the latest phones at great prices!</t>
  </si>
  <si>
    <t>Their warranty plan is worth every penny, such a relief!</t>
  </si>
  <si>
    <t>I appreciate how they were able to fix my phone on the same day.</t>
  </si>
  <si>
    <t>Got a great deal on my new phone and an awesome case as well!</t>
  </si>
  <si>
    <t>The staff was very accommodating when I had questions about phone features.</t>
  </si>
  <si>
    <t>I had a great experience with their trade-in program.</t>
  </si>
  <si>
    <t>Service was quick and efficient, I was in and out within 15 minutes!</t>
  </si>
  <si>
    <t>They even helped me transfer all my contacts and data without extra charge.</t>
  </si>
  <si>
    <t>My phone has been working flawlessly since I bought it from here.</t>
  </si>
  <si>
    <t>They fixed my screen perfectly and even gave me a discount on the repair.</t>
  </si>
  <si>
    <t>This is my go-to store for any phone issues, always reliable.</t>
  </si>
  <si>
    <t>They offer fantastic promotions and discounts!</t>
  </si>
  <si>
    <t>Great phone selection and even better customer service.</t>
  </si>
  <si>
    <t>They resolved my issue very quickly and professionally.</t>
  </si>
  <si>
    <t>I love how organized the store is and how fast they attend to customers.</t>
  </si>
  <si>
    <t>Highly recommend this store if you’re looking for good deals on phones!</t>
  </si>
  <si>
    <t>I always leave this store feeling like I made the right purchase.</t>
  </si>
  <si>
    <t>I received excellent advice from the sales team, they really know their products.</t>
  </si>
  <si>
    <t>Very happy with the repair service here, my phone looks brand new!</t>
  </si>
  <si>
    <t>I had to wait over an hour to be helped, and the staff wasn’t apologetic at all.</t>
  </si>
  <si>
    <t>Bought a phone here that stopped working within a week, very disappointing.</t>
  </si>
  <si>
    <t>Their prices are too high, and the selection is limited.</t>
  </si>
  <si>
    <t>Negative</t>
  </si>
  <si>
    <t>Customer service is poor, no one seemed interested in helping me.</t>
  </si>
  <si>
    <t>I had a terrible experience, the phone they sold me was defective.</t>
  </si>
  <si>
    <t>The staff was rude and unhelpful, I’m never coming back.</t>
  </si>
  <si>
    <t>They charged me extra for services I didn’t need, felt like a scam.</t>
  </si>
  <si>
    <t>Phone repairs took way too long, I had to come back multiple times.</t>
  </si>
  <si>
    <t>I bought a phone, but they didn’t inform me of all the hidden fees.</t>
  </si>
  <si>
    <t>Staff seemed untrained and gave me incorrect information about the phone plan.</t>
  </si>
  <si>
    <t>Their warranty is useless, they refused to fix my phone under it.</t>
  </si>
  <si>
    <t>I had to return a faulty phone twice before they finally gave me a refund.</t>
  </si>
  <si>
    <t>Very disorganized, I waited forever just to get a simple issue resolved.</t>
  </si>
  <si>
    <t>The phone I purchased here was overpriced compared to other stores.</t>
  </si>
  <si>
    <t>They refused to honor the promotion I came in for, very misleading.</t>
  </si>
  <si>
    <t>I felt pressured to buy accessories I didn’t need.</t>
  </si>
  <si>
    <t>The repair was done poorly, and my phone broke again within a week.</t>
  </si>
  <si>
    <t>Customer service was extremely slow, they need to hire more staff.</t>
  </si>
  <si>
    <t>They didn’t even check if my phone was working after the repair.</t>
  </si>
  <si>
    <t>Terrible experience, my phone still has the same issue after getting it 'fixed'.</t>
  </si>
  <si>
    <t>They upsold me on a phone plan I didn’t need, very deceptive.</t>
  </si>
  <si>
    <t>The staff was unprofessional and seemed like they didn’t want to be there.</t>
  </si>
  <si>
    <t>Their return policy is awful, I couldn’t exchange my phone despite its defects.</t>
  </si>
  <si>
    <t>They didn’t apply the discount I was promised.</t>
  </si>
  <si>
    <t>The store was messy and understaffed.</t>
  </si>
  <si>
    <t>My phone broke down just after the warranty expired, very frustrating.</t>
  </si>
  <si>
    <t>They kept trying to sell me more expensive phones when I clearly stated my budget.</t>
  </si>
  <si>
    <t>The repair job was incomplete, and they refused to refund me.</t>
  </si>
  <si>
    <t>Their customer service representatives were extremely rude on the phone.</t>
  </si>
  <si>
    <t>I had to call multiple times just to get a response, very unprofessional.</t>
  </si>
  <si>
    <t>They didn’t explain anything clearly and rushed me through the purchase.</t>
  </si>
  <si>
    <t>I regret buying from here, their post-purchase support is non-existent.</t>
  </si>
  <si>
    <t>Phone stopped working just outside the return window, terrible quality.</t>
  </si>
  <si>
    <t>The store was chaotic, with long lines and unhelpful staff.</t>
  </si>
  <si>
    <t>They didn’t even have the phone I wanted in stock after promising me it was available.</t>
  </si>
  <si>
    <t>Terrible follow-up, they lost my repair order, and I had to start over.</t>
  </si>
  <si>
    <t>I felt overcharged for a simple screen repair.</t>
  </si>
  <si>
    <t>Bought a refurbished phone that had several issues they didn’t disclose.</t>
  </si>
  <si>
    <t>The technician damaged my phone during the repair, and they didn’t take responsibility.</t>
  </si>
  <si>
    <t>I’m extremely disappointed, will not be coming back here again.</t>
  </si>
  <si>
    <t>type_property</t>
  </si>
  <si>
    <t>keyword</t>
  </si>
  <si>
    <t>part_sentence</t>
  </si>
  <si>
    <t>staff</t>
  </si>
  <si>
    <t>ADJ</t>
  </si>
  <si>
    <t>helpful</t>
  </si>
  <si>
    <t>staff were helpful.</t>
  </si>
  <si>
    <t>patient</t>
  </si>
  <si>
    <t>staff were patient.</t>
  </si>
  <si>
    <t>process</t>
  </si>
  <si>
    <t>quick</t>
  </si>
  <si>
    <t>process was quick.</t>
  </si>
  <si>
    <t>smooth</t>
  </si>
  <si>
    <t>process was smooth.</t>
  </si>
  <si>
    <t>selection</t>
  </si>
  <si>
    <t>amazing</t>
  </si>
  <si>
    <t>selection is amazing.</t>
  </si>
  <si>
    <t>price</t>
  </si>
  <si>
    <t>competitive</t>
  </si>
  <si>
    <t>price are competitive.</t>
  </si>
  <si>
    <t>VERB</t>
  </si>
  <si>
    <t>appreciate, walk</t>
  </si>
  <si>
    <t>I appreciate walked me.</t>
  </si>
  <si>
    <t>I appreciate walked through setting new device.</t>
  </si>
  <si>
    <t>question</t>
  </si>
  <si>
    <t>answer</t>
  </si>
  <si>
    <t>question answered.</t>
  </si>
  <si>
    <t>resist, offer</t>
  </si>
  <si>
    <t>I could not resist offer amazing deals on phones.</t>
  </si>
  <si>
    <t>resist</t>
  </si>
  <si>
    <t>I could not resist upgrading.</t>
  </si>
  <si>
    <t>technician</t>
  </si>
  <si>
    <t>fix</t>
  </si>
  <si>
    <t>technician fixed faster.</t>
  </si>
  <si>
    <t>technician fixed phones issue.</t>
  </si>
  <si>
    <t>phones issue</t>
  </si>
  <si>
    <t>experience</t>
  </si>
  <si>
    <t>know</t>
  </si>
  <si>
    <t>experience really know stuff.</t>
  </si>
  <si>
    <t>variety</t>
  </si>
  <si>
    <t>impressive</t>
  </si>
  <si>
    <t>variety was impressive.</t>
  </si>
  <si>
    <t>knowledgeable</t>
  </si>
  <si>
    <t>staff was knowledgeable.</t>
  </si>
  <si>
    <t>reasonable</t>
  </si>
  <si>
    <t>price were reasonable.</t>
  </si>
  <si>
    <t>go</t>
  </si>
  <si>
    <t>staff really went mile.</t>
  </si>
  <si>
    <t>service</t>
  </si>
  <si>
    <t>excellent</t>
  </si>
  <si>
    <t>service be excellent.</t>
  </si>
  <si>
    <t>deal</t>
  </si>
  <si>
    <t>friendly</t>
  </si>
  <si>
    <t>deal was friendly.</t>
  </si>
  <si>
    <t>staff was friendly.</t>
  </si>
  <si>
    <t>buying</t>
  </si>
  <si>
    <t>OTHER</t>
  </si>
  <si>
    <t>buying be experience.</t>
  </si>
  <si>
    <t>fixing</t>
  </si>
  <si>
    <t>fixing be experience.</t>
  </si>
  <si>
    <t>get</t>
  </si>
  <si>
    <t>I got good deal on old phone.</t>
  </si>
  <si>
    <t>service are quick.</t>
  </si>
  <si>
    <t>reliable</t>
  </si>
  <si>
    <t>service are reliable.</t>
  </si>
  <si>
    <t>phone</t>
  </si>
  <si>
    <t>staff was helpful in setting phone.</t>
  </si>
  <si>
    <t>m</t>
  </si>
  <si>
    <t>I m satisfied.</t>
  </si>
  <si>
    <t>staff was patient with questions.</t>
  </si>
  <si>
    <t>variety was patient with questions.</t>
  </si>
  <si>
    <t>simple</t>
  </si>
  <si>
    <t>process was simple.</t>
  </si>
  <si>
    <t>store</t>
  </si>
  <si>
    <t>help, choose</t>
  </si>
  <si>
    <t>they helped choose within budget.</t>
  </si>
  <si>
    <t>they helped choose phone.</t>
  </si>
  <si>
    <t>phone was fixed in minutes.</t>
  </si>
  <si>
    <t>outstanding</t>
  </si>
  <si>
    <t>service is outstanding.</t>
  </si>
  <si>
    <t>hand</t>
  </si>
  <si>
    <t>store hands.</t>
  </si>
  <si>
    <t>make</t>
  </si>
  <si>
    <t>staff made.</t>
  </si>
  <si>
    <t>find, need</t>
  </si>
  <si>
    <t>I found needed what.</t>
  </si>
  <si>
    <t>help, get</t>
  </si>
  <si>
    <t>they helped get great deal.</t>
  </si>
  <si>
    <t>warranty service</t>
  </si>
  <si>
    <t>have</t>
  </si>
  <si>
    <t>store has fantastic warranty service.</t>
  </si>
  <si>
    <t>informative</t>
  </si>
  <si>
    <t>staff was informative.</t>
  </si>
  <si>
    <t>variety be excellent.</t>
  </si>
  <si>
    <t>store be excellent.</t>
  </si>
  <si>
    <t>they were quick in setting phone.</t>
  </si>
  <si>
    <t>layout</t>
  </si>
  <si>
    <t>easy</t>
  </si>
  <si>
    <t>layout is easy.</t>
  </si>
  <si>
    <t>ready</t>
  </si>
  <si>
    <t>staff are ready.</t>
  </si>
  <si>
    <t>help, save</t>
  </si>
  <si>
    <t>they helped save lot.</t>
  </si>
  <si>
    <t>provide</t>
  </si>
  <si>
    <t>one provides best service.</t>
  </si>
  <si>
    <t>one</t>
  </si>
  <si>
    <t>notch</t>
  </si>
  <si>
    <t>service is notch.</t>
  </si>
  <si>
    <t>fail, recommend</t>
  </si>
  <si>
    <t>they not fail recommend to family.</t>
  </si>
  <si>
    <t>they not fail recommend store.</t>
  </si>
  <si>
    <t>they not fail recommend to friends.</t>
  </si>
  <si>
    <t>time</t>
  </si>
  <si>
    <t>take</t>
  </si>
  <si>
    <t>staff took time.</t>
  </si>
  <si>
    <t>place</t>
  </si>
  <si>
    <t>place be amazing.</t>
  </si>
  <si>
    <t>plan</t>
  </si>
  <si>
    <t>worth</t>
  </si>
  <si>
    <t>plan is worth.</t>
  </si>
  <si>
    <t>able</t>
  </si>
  <si>
    <t>they were able.</t>
  </si>
  <si>
    <t>appreciate, be</t>
  </si>
  <si>
    <t>I appreciate were able.</t>
  </si>
  <si>
    <t>accommodating</t>
  </si>
  <si>
    <t>staff was accommodating.</t>
  </si>
  <si>
    <t>I had great experience with program.</t>
  </si>
  <si>
    <t>service was quick.</t>
  </si>
  <si>
    <t>efficient</t>
  </si>
  <si>
    <t>service was efficient.</t>
  </si>
  <si>
    <t>help, transfer</t>
  </si>
  <si>
    <t>they even helped transfer contacts.</t>
  </si>
  <si>
    <t>they even helped transfer without extra charge.</t>
  </si>
  <si>
    <t>they even helped transfer data.</t>
  </si>
  <si>
    <t>work</t>
  </si>
  <si>
    <t>phone has working flawlessly.</t>
  </si>
  <si>
    <t>give</t>
  </si>
  <si>
    <t>they even gave discount on repair.</t>
  </si>
  <si>
    <t>they fixed perfectly.</t>
  </si>
  <si>
    <t>they fixed screen.</t>
  </si>
  <si>
    <t>this is reliable.</t>
  </si>
  <si>
    <t>offer</t>
  </si>
  <si>
    <t>they offer fantastic promotions.</t>
  </si>
  <si>
    <t>they offer discounts.</t>
  </si>
  <si>
    <t>great</t>
  </si>
  <si>
    <t>selection be great.</t>
  </si>
  <si>
    <t>selection be phone.</t>
  </si>
  <si>
    <t>service be great.</t>
  </si>
  <si>
    <t>service be phone.</t>
  </si>
  <si>
    <t>resolve</t>
  </si>
  <si>
    <t>they resolved professionally.</t>
  </si>
  <si>
    <t>they resolved very quickly.</t>
  </si>
  <si>
    <t>they resolved issue.</t>
  </si>
  <si>
    <t>organize</t>
  </si>
  <si>
    <t>store is organized.</t>
  </si>
  <si>
    <t>look</t>
  </si>
  <si>
    <t>you re looking for good deals.</t>
  </si>
  <si>
    <t>leave</t>
  </si>
  <si>
    <t>I always leave store.</t>
  </si>
  <si>
    <t>I made right purchase.</t>
  </si>
  <si>
    <t>know, receive</t>
  </si>
  <si>
    <t>they really know received excellent advice from sales team.</t>
  </si>
  <si>
    <t>they really know products.</t>
  </si>
  <si>
    <t>phone looks new.</t>
  </si>
  <si>
    <t>apologetic</t>
  </si>
  <si>
    <t>staff was not apologetic.</t>
  </si>
  <si>
    <t>high</t>
  </si>
  <si>
    <t>price are high.</t>
  </si>
  <si>
    <t>limited</t>
  </si>
  <si>
    <t>selection is limited.</t>
  </si>
  <si>
    <t>seem, be</t>
  </si>
  <si>
    <t>one seemed is poor.</t>
  </si>
  <si>
    <t>poor</t>
  </si>
  <si>
    <t>service is poor.</t>
  </si>
  <si>
    <t>defective</t>
  </si>
  <si>
    <t>phone was defective.</t>
  </si>
  <si>
    <t>rude</t>
  </si>
  <si>
    <t>staff was rude.</t>
  </si>
  <si>
    <t>unhelpful</t>
  </si>
  <si>
    <t>staff was unhelpful.</t>
  </si>
  <si>
    <t>charge</t>
  </si>
  <si>
    <t>they charged me.</t>
  </si>
  <si>
    <t>feel</t>
  </si>
  <si>
    <t>they felt like scam.</t>
  </si>
  <si>
    <t>they charged extra for services.</t>
  </si>
  <si>
    <t>have, take</t>
  </si>
  <si>
    <t>I had took too long.</t>
  </si>
  <si>
    <t>I had took way.</t>
  </si>
  <si>
    <t>inform</t>
  </si>
  <si>
    <t>they did not inform me.</t>
  </si>
  <si>
    <t>they did not inform of hidden fees.</t>
  </si>
  <si>
    <t>buy</t>
  </si>
  <si>
    <t>I bought phone.</t>
  </si>
  <si>
    <t>seem</t>
  </si>
  <si>
    <t>staff seemed.</t>
  </si>
  <si>
    <t>staff gave incorrect information about phone plan.</t>
  </si>
  <si>
    <t>phone plan</t>
  </si>
  <si>
    <t>warranty</t>
  </si>
  <si>
    <t>useless</t>
  </si>
  <si>
    <t>warranty is useless.</t>
  </si>
  <si>
    <t>they twice gave refund.</t>
  </si>
  <si>
    <t>have, return</t>
  </si>
  <si>
    <t>I had to return faulty phone.</t>
  </si>
  <si>
    <t>wait</t>
  </si>
  <si>
    <t>I very disorganized waited forever.</t>
  </si>
  <si>
    <t>refuse, honor</t>
  </si>
  <si>
    <t>they refused to honor promotion.</t>
  </si>
  <si>
    <t>I felt pressured.</t>
  </si>
  <si>
    <t>repair</t>
  </si>
  <si>
    <t>do</t>
  </si>
  <si>
    <t>repair was done poorly.</t>
  </si>
  <si>
    <t>break</t>
  </si>
  <si>
    <t>phone broke again.</t>
  </si>
  <si>
    <t>phone broke within week.</t>
  </si>
  <si>
    <t>slow</t>
  </si>
  <si>
    <t>service was slow.</t>
  </si>
  <si>
    <t>phone was working after repair.</t>
  </si>
  <si>
    <t>same issue</t>
  </si>
  <si>
    <t>phone still has same issue after getting.</t>
  </si>
  <si>
    <t>upsold</t>
  </si>
  <si>
    <t>they upsold on phone plan.</t>
  </si>
  <si>
    <t>they upsold me.</t>
  </si>
  <si>
    <t>unprofessional</t>
  </si>
  <si>
    <t>staff was unprofessional.</t>
  </si>
  <si>
    <t>policy</t>
  </si>
  <si>
    <t>awful</t>
  </si>
  <si>
    <t>policy is awful.</t>
  </si>
  <si>
    <t>apply</t>
  </si>
  <si>
    <t>they did not apply discount.</t>
  </si>
  <si>
    <t>understaffed</t>
  </si>
  <si>
    <t>store was understaffed.</t>
  </si>
  <si>
    <t>messy</t>
  </si>
  <si>
    <t>store was messy.</t>
  </si>
  <si>
    <t>expire</t>
  </si>
  <si>
    <t>warranty just expired.</t>
  </si>
  <si>
    <t>phone broke.</t>
  </si>
  <si>
    <t>keep, try</t>
  </si>
  <si>
    <t>they kept trying.</t>
  </si>
  <si>
    <t>job</t>
  </si>
  <si>
    <t>incomplete</t>
  </si>
  <si>
    <t>job was incomplete.</t>
  </si>
  <si>
    <t>representative</t>
  </si>
  <si>
    <t>representative were rude on phone.</t>
  </si>
  <si>
    <t>have, call</t>
  </si>
  <si>
    <t>I had to call multiple times.</t>
  </si>
  <si>
    <t>explain</t>
  </si>
  <si>
    <t>they did not explain anything.</t>
  </si>
  <si>
    <t>rush</t>
  </si>
  <si>
    <t>they rushed me.</t>
  </si>
  <si>
    <t>they rushed through purchase.</t>
  </si>
  <si>
    <t>they did not explain clearly.</t>
  </si>
  <si>
    <t>support</t>
  </si>
  <si>
    <t>non</t>
  </si>
  <si>
    <t>support is non.</t>
  </si>
  <si>
    <t>return window</t>
  </si>
  <si>
    <t>stop, work</t>
  </si>
  <si>
    <t>phone stopped working outside return window.</t>
  </si>
  <si>
    <t>stop</t>
  </si>
  <si>
    <t>phone stopped quality.</t>
  </si>
  <si>
    <t>chaotic</t>
  </si>
  <si>
    <t>store was chaotic.</t>
  </si>
  <si>
    <t>store was with unhelpful staff.</t>
  </si>
  <si>
    <t>lines</t>
  </si>
  <si>
    <t>store was with long lines.</t>
  </si>
  <si>
    <t>long lines</t>
  </si>
  <si>
    <t>they did not even have after promising me.</t>
  </si>
  <si>
    <t>they did not even have phone.</t>
  </si>
  <si>
    <t>lose</t>
  </si>
  <si>
    <t>they lost repair order.</t>
  </si>
  <si>
    <t>I felt overcharged.</t>
  </si>
  <si>
    <t>damage</t>
  </si>
  <si>
    <t>technician damaged during repair.</t>
  </si>
  <si>
    <t>technician damaged phone.</t>
  </si>
  <si>
    <t xml:space="preserve">● staff is friendly, ready.
● I could not resist offer amazing deals on phones.
● I made right purchase.
● I appreciate walked through setting new device.
● I got good deal on old phone.
● I appreciate were able.
● I had great experience with program.
● staff really went mile.
● I very disorganized waited forever.
● I m satisfied.
</t>
  </si>
  <si>
    <t xml:space="preserve">● staff is rude.
● I had took too long.
</t>
  </si>
  <si>
    <t xml:space="preserve">● staff is helpful, patient, knowledgeable, helpful in setting phone, patient with questions, informative, accommodating, reliable, not apologetic, unhelpful, unprofessional.
● I found needed what.
● I had to call multiple times.
● I had to return faulty phone.
● staff took time.
● I felt overcharged.
● I had took way.
● staff gave incorrect information about phone plan.
● I felt pressured.
● staff made.
● I always leave store.
● I appreciate walked me.
● I could not resist upgrading.
● I bought phone.
● staff seemed.
● store was with unhelpful staff.
</t>
  </si>
  <si>
    <t xml:space="preserve">● process is smooth, quick.
</t>
  </si>
  <si>
    <t xml:space="preserve">● process is simple.
</t>
  </si>
  <si>
    <t xml:space="preserve">● selection is amazing, great.
</t>
  </si>
  <si>
    <t xml:space="preserve">● selection is limited.
</t>
  </si>
  <si>
    <t xml:space="preserve">● selection be phone.
</t>
  </si>
  <si>
    <t xml:space="preserve">● price is reasonable, high.
</t>
  </si>
  <si>
    <t xml:space="preserve">● price is competitive.
</t>
  </si>
  <si>
    <t xml:space="preserve">● question answered.
</t>
  </si>
  <si>
    <t xml:space="preserve">● technician fixed phones issue.
</t>
  </si>
  <si>
    <t xml:space="preserve">● technician fixed phones issue.
● technician fixed faster.
</t>
  </si>
  <si>
    <t xml:space="preserve">● technician damaged during repair.
● technician damaged phone.
</t>
  </si>
  <si>
    <t xml:space="preserve">● experience really know stuff.
</t>
  </si>
  <si>
    <t xml:space="preserve">● variety is impressive, excellent.
</t>
  </si>
  <si>
    <t xml:space="preserve">● variety is patient with questions.
</t>
  </si>
  <si>
    <t xml:space="preserve">● service is excellent, quick, outstanding, quick, great.
● one provides best service.
</t>
  </si>
  <si>
    <t xml:space="preserve">● service is poor, slow.
</t>
  </si>
  <si>
    <t xml:space="preserve">● service is reliable, notch, efficient.
● service is notch.
● service be phone.
</t>
  </si>
  <si>
    <t xml:space="preserve">● deal is friendly.
</t>
  </si>
  <si>
    <t xml:space="preserve">● buying be experience.
</t>
  </si>
  <si>
    <t xml:space="preserve">● fixing be experience.
</t>
  </si>
  <si>
    <t xml:space="preserve">● phone looks new.
● phone has working flawlessly.
● phone was fixed in minutes.
</t>
  </si>
  <si>
    <t xml:space="preserve">● phone is helpful in setting phone, defective.
● phone stopped working outside return window.
● phone broke.
● phone broke again.
● phone still has same issue after getting.
● phone broke within week.
● phone stopped quality.
● phone was working after repair.
</t>
  </si>
  <si>
    <t xml:space="preserve">● store is excellent, quick in setting phone, able.
● they helped get great deal.
● they not fail recommend to friends.
● they not fail recommend to family.
● they not fail recommend store.
● you re looking for good deals.
● they really know products.
● they did not even have after promising me.
● store has fantastic warranty service.
● they really know received excellent advice from sales team.
● they resolved very quickly.
● they resolved professionally.
● they offer fantastic promotions.
● they did not explain clearly.
● they fixed screen.
● they fixed perfectly.
</t>
  </si>
  <si>
    <t xml:space="preserve">● store is messy.
● they did not inform of hidden fees.
● store was with long lines.
</t>
  </si>
  <si>
    <t xml:space="preserve">● store is organized, understaffed, chaotic.
● they even helped transfer without extra charge.
● they even gave discount on repair.
● they even helped transfer contacts.
● they helped choose phone.
● they helped choose within budget.
● they even helped transfer data.
● they lost repair order.
● they twice gave refund.
● they did not apply discount.
● they offer discounts.
● they charged extra for services.
● they helped save lot.
● they did not inform me.
● they upsold me.
● they rushed through purchase.
● they did not even have phone.
● they kept trying.
● they upsold on phone plan.
● they resolved issue.
● they charged me.
● they did not explain anything.
● they refused to honor promotion.
● they felt like scam.
● store hands.
● store was with unhelpful staff.
</t>
  </si>
  <si>
    <t xml:space="preserve">● store has fantastic warranty service.
</t>
  </si>
  <si>
    <t xml:space="preserve">● layout is easy.
</t>
  </si>
  <si>
    <t xml:space="preserve">● one provides best service.
</t>
  </si>
  <si>
    <t xml:space="preserve">● one seemed is poor.
</t>
  </si>
  <si>
    <t xml:space="preserve">● staff took time.
</t>
  </si>
  <si>
    <t xml:space="preserve">● place is amazing.
</t>
  </si>
  <si>
    <t xml:space="preserve">● plan is worth.
</t>
  </si>
  <si>
    <t xml:space="preserve">● staff gave incorrect information about phone plan.
</t>
  </si>
  <si>
    <t xml:space="preserve">● warranty is useless.
</t>
  </si>
  <si>
    <t xml:space="preserve">● warranty just expired.
</t>
  </si>
  <si>
    <t xml:space="preserve">● repair was done poorly.
</t>
  </si>
  <si>
    <t xml:space="preserve">● phone still has same issue after getting.
</t>
  </si>
  <si>
    <t xml:space="preserve">● policy is awful.
</t>
  </si>
  <si>
    <t xml:space="preserve">● job is incomplete.
</t>
  </si>
  <si>
    <t xml:space="preserve">● representative is rude on phone.
</t>
  </si>
  <si>
    <t xml:space="preserve">● support is non.
</t>
  </si>
  <si>
    <t xml:space="preserve">● phone stopped working outside return window.
</t>
  </si>
  <si>
    <t xml:space="preserve">● store was with long lines.
</t>
  </si>
  <si>
    <t>strength</t>
  </si>
  <si>
    <t>weakness</t>
  </si>
  <si>
    <t>fine</t>
  </si>
  <si>
    <t>Selected Information</t>
  </si>
  <si>
    <t>Row Labels</t>
  </si>
  <si>
    <t>Grand Total</t>
  </si>
  <si>
    <t>Date</t>
  </si>
  <si>
    <t>For References</t>
  </si>
  <si>
    <t>Topic</t>
  </si>
  <si>
    <t>Name</t>
  </si>
  <si>
    <t>Column Labels</t>
  </si>
  <si>
    <t>Count of id</t>
  </si>
  <si>
    <t>Month</t>
  </si>
  <si>
    <t>Pivot Table</t>
  </si>
  <si>
    <t>Negative Total</t>
  </si>
  <si>
    <t>Neutral Total</t>
  </si>
  <si>
    <t>Positive Total</t>
  </si>
  <si>
    <t>Selected Topic</t>
  </si>
  <si>
    <t>Title:</t>
  </si>
  <si>
    <t>A</t>
  </si>
  <si>
    <t>B</t>
  </si>
  <si>
    <t>C</t>
  </si>
  <si>
    <t>Total</t>
  </si>
  <si>
    <t>Trend Topic</t>
  </si>
  <si>
    <t>Distribution Topic per Sentiment</t>
  </si>
  <si>
    <t>Distinct Count of id</t>
  </si>
  <si>
    <t>Aspect</t>
  </si>
  <si>
    <t>Distribution Aspects for Selected Topic</t>
  </si>
  <si>
    <t>Trend and Distribution Topic</t>
  </si>
  <si>
    <t>Total Review</t>
  </si>
  <si>
    <t>Main Table, top-k data</t>
  </si>
  <si>
    <t>Top-data-main</t>
  </si>
  <si>
    <t>Review</t>
  </si>
  <si>
    <t>Sentiment</t>
  </si>
  <si>
    <t>Pagination Table Main</t>
  </si>
  <si>
    <t>Positive %</t>
  </si>
  <si>
    <t>Negative %</t>
  </si>
  <si>
    <t>Neutral %</t>
  </si>
  <si>
    <t>Frequency</t>
  </si>
  <si>
    <t>Pagination Aspect Freq</t>
  </si>
  <si>
    <t>UNIQUE</t>
  </si>
  <si>
    <t>Base</t>
  </si>
  <si>
    <t>Min Freq</t>
  </si>
  <si>
    <t>Max Freq</t>
  </si>
  <si>
    <t>Year</t>
  </si>
  <si>
    <t>Day</t>
  </si>
  <si>
    <t>aspect_based_sentiment</t>
  </si>
  <si>
    <t xml:space="preserve">● staff - helpful : Neutral
● staff - patient : Neutral
</t>
  </si>
  <si>
    <t xml:space="preserve">● process - quick : Positive
● process - smooth : Positive
</t>
  </si>
  <si>
    <t xml:space="preserve">● price - competitive : Neutral
</t>
  </si>
  <si>
    <t xml:space="preserve">● staff - appreciate, walk : Neutral
● staff - appreciate, walk : Positive
</t>
  </si>
  <si>
    <t xml:space="preserve">● question - answer : Neutral
</t>
  </si>
  <si>
    <t xml:space="preserve">● staff - resist, offer : Positive
● staff - resist : Neutral
</t>
  </si>
  <si>
    <t xml:space="preserve">● phones issue - fix : Positive
</t>
  </si>
  <si>
    <t xml:space="preserve">● experience - know : Positive
</t>
  </si>
  <si>
    <t xml:space="preserve">● variety - impressive : Positive
</t>
  </si>
  <si>
    <t xml:space="preserve">● staff - knowledgeable : Neutral
</t>
  </si>
  <si>
    <t xml:space="preserve">● price - reasonable : Positive
</t>
  </si>
  <si>
    <t xml:space="preserve">● staff - go : Positive
</t>
  </si>
  <si>
    <t xml:space="preserve">● service - excellent : Positive
</t>
  </si>
  <si>
    <t xml:space="preserve">● staff - friendly : Positive
</t>
  </si>
  <si>
    <t xml:space="preserve">● fixing - experience : Neutral
</t>
  </si>
  <si>
    <t xml:space="preserve">● staff - get : Positive
</t>
  </si>
  <si>
    <t xml:space="preserve">● service - quick : Positive
● service - reliable : Neutral
</t>
  </si>
  <si>
    <t xml:space="preserve">● staff - helpful : Neutral
</t>
  </si>
  <si>
    <t xml:space="preserve">● staff - m : Positive
</t>
  </si>
  <si>
    <t xml:space="preserve">● variety - patient : Neutral
</t>
  </si>
  <si>
    <t xml:space="preserve">● process - simple : Neutral
</t>
  </si>
  <si>
    <t xml:space="preserve">● store - help, choose : Neutral
● store - help, choose : Neutral
</t>
  </si>
  <si>
    <t xml:space="preserve">● phone - fix : Positive
</t>
  </si>
  <si>
    <t xml:space="preserve">● service - outstanding : Positive
</t>
  </si>
  <si>
    <t xml:space="preserve">● store - hand : Neutral
</t>
  </si>
  <si>
    <t xml:space="preserve">● staff - make : Neutral
</t>
  </si>
  <si>
    <t xml:space="preserve">● store - help, get : Positive
</t>
  </si>
  <si>
    <t xml:space="preserve">● store - have : Positive
</t>
  </si>
  <si>
    <t xml:space="preserve">● staff - informative : Neutral
</t>
  </si>
  <si>
    <t xml:space="preserve">● store - excellent : Positive
</t>
  </si>
  <si>
    <t xml:space="preserve">● store - quick : Positive
</t>
  </si>
  <si>
    <t xml:space="preserve">● staff - ready : Positive
</t>
  </si>
  <si>
    <t xml:space="preserve">● store - help, save : Neutral
</t>
  </si>
  <si>
    <t xml:space="preserve">● one - provide : Positive
</t>
  </si>
  <si>
    <t xml:space="preserve">● service - notch : Neutral
● service - notch : Neutral
</t>
  </si>
  <si>
    <t xml:space="preserve">● store - fail, recommend : Positive
● store - fail, recommend : Positive
● store - fail, recommend : Positive
</t>
  </si>
  <si>
    <t xml:space="preserve">● staff - take : Neutral
</t>
  </si>
  <si>
    <t xml:space="preserve">● place - amazing : Positive
</t>
  </si>
  <si>
    <t xml:space="preserve">● plan - worth : Positive
</t>
  </si>
  <si>
    <t xml:space="preserve">● staff - appreciate, be : Positive
</t>
  </si>
  <si>
    <t xml:space="preserve">● staff - accommodating : Neutral
</t>
  </si>
  <si>
    <t xml:space="preserve">● staff - have : Positive
</t>
  </si>
  <si>
    <t xml:space="preserve">● service - quick : Positive
● service - efficient : Neutral
</t>
  </si>
  <si>
    <t xml:space="preserve">● store - help, transfer : Neutral
● store - help, transfer : Neutral
● store - help, transfer : Neutral
</t>
  </si>
  <si>
    <t xml:space="preserve">● phone - work : Positive
</t>
  </si>
  <si>
    <t xml:space="preserve">● store - give : Neutral
● store - fix : Positive
● store - fix : Positive
</t>
  </si>
  <si>
    <t xml:space="preserve">● staff - reliable : Neutral
</t>
  </si>
  <si>
    <t xml:space="preserve">● store - offer : Positive
● store - offer : Neutral
</t>
  </si>
  <si>
    <t xml:space="preserve">● service - great : Positive
● service - phone : Neutral
</t>
  </si>
  <si>
    <t xml:space="preserve">● store - resolve : Positive
● store - resolve : Positive
● store - resolve : Neutral
</t>
  </si>
  <si>
    <t xml:space="preserve">● store - organize : Neutral
</t>
  </si>
  <si>
    <t xml:space="preserve">● store - look : Positive
</t>
  </si>
  <si>
    <t xml:space="preserve">● staff - leave : Neutral
● staff - make : Positive
</t>
  </si>
  <si>
    <t xml:space="preserve">● store - know, receive : Positive
● store - know : Positive
</t>
  </si>
  <si>
    <t xml:space="preserve">● phone - look : Positive
</t>
  </si>
  <si>
    <t xml:space="preserve">● staff - apologetic : Neutral
</t>
  </si>
  <si>
    <t xml:space="preserve">● selection - limited : Negative
</t>
  </si>
  <si>
    <t xml:space="preserve">● service - poor : Negative
</t>
  </si>
  <si>
    <t xml:space="preserve">● phone - defective : Neutral
</t>
  </si>
  <si>
    <t xml:space="preserve">● staff - rude : Negative
● staff - unhelpful : Neutral
</t>
  </si>
  <si>
    <t xml:space="preserve">● store - charge : Neutral
● store - feel : Neutral
● store - charge : Neutral
</t>
  </si>
  <si>
    <t xml:space="preserve">● staff - have, take : Negative
● staff - have, take : Neutral
</t>
  </si>
  <si>
    <t xml:space="preserve">● staff - buy : Neutral
</t>
  </si>
  <si>
    <t xml:space="preserve">● phone plan - give : Neutral
</t>
  </si>
  <si>
    <t xml:space="preserve">● warranty - useless : Negative
</t>
  </si>
  <si>
    <t xml:space="preserve">● staff - have, return : Neutral
</t>
  </si>
  <si>
    <t xml:space="preserve">● staff - wait : Positive
</t>
  </si>
  <si>
    <t xml:space="preserve">● store - refuse, honor : Neutral
</t>
  </si>
  <si>
    <t xml:space="preserve">● staff - feel : Neutral
</t>
  </si>
  <si>
    <t xml:space="preserve">● phone - break : Neutral
● phone - break : Neutral
</t>
  </si>
  <si>
    <t xml:space="preserve">● service - slow : Negative
</t>
  </si>
  <si>
    <t xml:space="preserve">● phone - work : Neutral
</t>
  </si>
  <si>
    <t xml:space="preserve">● phone - have : Neutral
</t>
  </si>
  <si>
    <t xml:space="preserve">● store - upsold : Neutral
● store - upsold : Neutral
</t>
  </si>
  <si>
    <t xml:space="preserve">● staff - unprofessional : Neutral
</t>
  </si>
  <si>
    <t xml:space="preserve">● policy - awful : Negative
</t>
  </si>
  <si>
    <t xml:space="preserve">● store - apply : Neutral
</t>
  </si>
  <si>
    <t xml:space="preserve">● store - understaffed : Neutral
● store - messy : Negative
</t>
  </si>
  <si>
    <t xml:space="preserve">● phone - break : Neutral
</t>
  </si>
  <si>
    <t xml:space="preserve">● store - keep, try : Neutral
</t>
  </si>
  <si>
    <t xml:space="preserve">● job - incomplete : Neutral
</t>
  </si>
  <si>
    <t xml:space="preserve">● representative - rude : Negative
</t>
  </si>
  <si>
    <t xml:space="preserve">● staff - have, call : Neutral
</t>
  </si>
  <si>
    <t xml:space="preserve">● store - explain : Neutral
● store - rush : Neutral
● store - rush : Neutral
● store - explain : Positive
</t>
  </si>
  <si>
    <t xml:space="preserve">● support - non : Neutral
</t>
  </si>
  <si>
    <t xml:space="preserve">● phone - stop, work : Neutral
● phone - stop : Neutral
</t>
  </si>
  <si>
    <t xml:space="preserve">● long lines - lines : Negative
</t>
  </si>
  <si>
    <t xml:space="preserve">● store - have : Positive
● store - have : Neutral
</t>
  </si>
  <si>
    <t xml:space="preserve">● store - lose : Neutral
</t>
  </si>
  <si>
    <t xml:space="preserve">● technician - damage : Neutral
● technician - damage : Neutral
</t>
  </si>
  <si>
    <t>Row id</t>
  </si>
  <si>
    <t>Column id</t>
  </si>
  <si>
    <t>Negative Rate</t>
  </si>
  <si>
    <t>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</si>
</sst>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0" fontId="3" fillId="0" borderId="7" xfId="0" applyFont="1" applyBorder="1" applyAlignment="1">
      <alignment horizontal="center" vertical="top" wrapText="1"/>
    </xf>
    <xf numFmtId="0" fontId="0" fillId="0" borderId="0" xfId="0" pivotButton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8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9" fontId="0" fillId="0" borderId="0" xfId="0" applyNumberFormat="1"/>
    <xf numFmtId="9" fontId="0" fillId="0" borderId="0" xfId="1" applyFont="1"/>
    <xf numFmtId="0" fontId="2" fillId="0" borderId="0" xfId="0" applyFont="1"/>
    <xf numFmtId="0" fontId="1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14" fontId="0" fillId="0" borderId="0" xfId="0" applyNumberFormat="1" applyAlignment="1">
      <alignment wrapText="1"/>
    </xf>
    <xf numFmtId="9" fontId="1" fillId="0" borderId="8" xfId="0" applyNumberFormat="1" applyFont="1" applyBorder="1"/>
    <xf numFmtId="9" fontId="0" fillId="0" borderId="8" xfId="1" applyFont="1" applyBorder="1"/>
    <xf numFmtId="0" fontId="1" fillId="5" borderId="3" xfId="0" applyFont="1" applyFill="1" applyBorder="1"/>
    <xf numFmtId="0" fontId="1" fillId="5" borderId="5" xfId="0" applyFont="1" applyFill="1" applyBorder="1"/>
    <xf numFmtId="14" fontId="0" fillId="5" borderId="6" xfId="0" applyNumberFormat="1" applyFill="1" applyBorder="1"/>
    <xf numFmtId="0" fontId="1" fillId="0" borderId="8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4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calculation!$AG$8</c:f>
          <c:strCache>
            <c:ptCount val="1"/>
            <c:pt idx="0">
              <c:v>Trend Topic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202989824289005E-2"/>
          <c:y val="0.12973485138457944"/>
          <c:w val="0.94364998631508756"/>
          <c:h val="0.517962551646158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calculation!$AF$9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calculation!$AF$10:$AF$22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9-4288-91C2-F5F69AB7BACA}"/>
            </c:ext>
          </c:extLst>
        </c:ser>
        <c:ser>
          <c:idx val="1"/>
          <c:order val="1"/>
          <c:tx>
            <c:strRef>
              <c:f>calculation!$AG$9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calculation!$AG$10:$AG$22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9-4288-91C2-F5F69AB7BACA}"/>
            </c:ext>
          </c:extLst>
        </c:ser>
        <c:ser>
          <c:idx val="2"/>
          <c:order val="2"/>
          <c:tx>
            <c:strRef>
              <c:f>calculation!$AH$9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calculation!$AH$10:$AH$22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9-4288-91C2-F5F69AB7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57359583"/>
        <c:axId val="1357353823"/>
      </c:barChart>
      <c:lineChart>
        <c:grouping val="stacked"/>
        <c:varyColors val="0"/>
        <c:ser>
          <c:idx val="3"/>
          <c:order val="3"/>
          <c:tx>
            <c:strRef>
              <c:f>calculation!$AI$9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calculation!$AI$10:$AI$22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9-4288-91C2-F5F69AB7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359583"/>
        <c:axId val="1357353823"/>
      </c:lineChart>
      <c:dateAx>
        <c:axId val="1357359583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53823"/>
        <c:crosses val="autoZero"/>
        <c:auto val="1"/>
        <c:lblOffset val="100"/>
        <c:baseTimeUnit val="days"/>
      </c:dateAx>
      <c:valAx>
        <c:axId val="135735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7359583"/>
        <c:crosses val="autoZero"/>
        <c:crossBetween val="between"/>
        <c:majorUnit val="1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calculation!$AA$8</c:f>
          <c:strCache>
            <c:ptCount val="1"/>
            <c:pt idx="0">
              <c:v>Sentiment Topic 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calculation!$Z$9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calculation!$Z$10:$Z$22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3-4356-9EB4-8655B7A59240}"/>
            </c:ext>
          </c:extLst>
        </c:ser>
        <c:ser>
          <c:idx val="1"/>
          <c:order val="1"/>
          <c:tx>
            <c:strRef>
              <c:f>calculation!$AA$9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calculation!$AA$10:$AA$22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3-4356-9EB4-8655B7A59240}"/>
            </c:ext>
          </c:extLst>
        </c:ser>
        <c:ser>
          <c:idx val="2"/>
          <c:order val="2"/>
          <c:tx>
            <c:strRef>
              <c:f>calculation!$AB$9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calculation!$AB$10:$AB$22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3-4356-9EB4-8655B7A5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359583"/>
        <c:axId val="1357353823"/>
      </c:barChart>
      <c:lineChart>
        <c:grouping val="stacked"/>
        <c:varyColors val="0"/>
        <c:ser>
          <c:idx val="3"/>
          <c:order val="3"/>
          <c:tx>
            <c:strRef>
              <c:f>calculation!$AC$9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calculation!$AC$10:$AC$22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3-4356-9EB4-8655B7A5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359583"/>
        <c:axId val="1357353823"/>
      </c:lineChart>
      <c:dateAx>
        <c:axId val="1357359583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53823"/>
        <c:crosses val="autoZero"/>
        <c:auto val="1"/>
        <c:lblOffset val="100"/>
        <c:baseTimeUnit val="days"/>
      </c:dateAx>
      <c:valAx>
        <c:axId val="135735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7359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calculation!$AL$8</c:f>
          <c:strCache>
            <c:ptCount val="1"/>
            <c:pt idx="0">
              <c:v>Distribution Topic per Sentiment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16117965569258E-2"/>
          <c:y val="0.14230630127926922"/>
          <c:w val="0.87933711774400292"/>
          <c:h val="0.755626511253022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calculation!$AL$9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5C40E92-6FD7-4B0C-BF7A-561037A7061C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816-42C2-A461-38C828BC94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1B5073-6456-4CAA-8BB4-5A3BAED573F3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16-42C2-A461-38C828BC94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69DE73-E3C7-4082-A275-0A343F110784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16-42C2-A461-38C828BC9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calculation!$AK$10:$AK$12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calculation!$AL$10:$AL$12</c:f>
              <c:numCache>
                <c:formatCode>General</c:formatCode>
                <c:ptCount val="3"/>
                <c:pt idx="0">
                  <c:v>7</c:v>
                </c:pt>
                <c:pt idx="1">
                  <c:v>21</c:v>
                </c:pt>
                <c:pt idx="2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calculation!$AP$10:$AP$12</c15:f>
                <c15:dlblRangeCache>
                  <c:ptCount val="3"/>
                  <c:pt idx="0">
                    <c:v>33%</c:v>
                  </c:pt>
                  <c:pt idx="1">
                    <c:v>48%</c:v>
                  </c:pt>
                  <c:pt idx="2">
                    <c:v>38%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816-42C2-A461-38C828BC94F1}"/>
            </c:ext>
          </c:extLst>
        </c:ser>
        <c:ser>
          <c:idx val="1"/>
          <c:order val="1"/>
          <c:tx>
            <c:strRef>
              <c:f>calculation!$AM$9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EB823BE-F205-46C6-B4D6-370B50D071C2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816-42C2-A461-38C828BC94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21A335-47BD-4348-A026-2A5DE0DC5D51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816-42C2-A461-38C828BC94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3A1722-5706-4C32-8C67-291DA45B902F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816-42C2-A461-38C828BC9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calculation!$AK$10:$AK$12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calculation!$AM$10:$AM$12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calculation!$AQ$10:$AQ$12</c15:f>
                <c15:dlblRangeCache>
                  <c:ptCount val="3"/>
                  <c:pt idx="0">
                    <c:v>14%</c:v>
                  </c:pt>
                  <c:pt idx="1">
                    <c:v>7%</c:v>
                  </c:pt>
                  <c:pt idx="2">
                    <c:v>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2816-42C2-A461-38C828BC94F1}"/>
            </c:ext>
          </c:extLst>
        </c:ser>
        <c:ser>
          <c:idx val="2"/>
          <c:order val="2"/>
          <c:tx>
            <c:strRef>
              <c:f>calculation!$AN$9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570ACE5-351D-4F2B-A264-E470B36CC542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816-42C2-A461-38C828BC94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9D2256-2459-4770-8677-1DF306B1A9DC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816-42C2-A461-38C828BC94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189910-303B-4A93-B7B9-AAC6E03E0816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816-42C2-A461-38C828BC9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calculation!$AK$10:$AK$12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calculation!$AN$10:$AN$12</c:f>
              <c:numCache>
                <c:formatCode>General</c:formatCode>
                <c:ptCount val="3"/>
                <c:pt idx="0">
                  <c:v>11</c:v>
                </c:pt>
                <c:pt idx="1">
                  <c:v>20</c:v>
                </c:pt>
                <c:pt idx="2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calculation!$AR$10:$AR$12</c15:f>
                <c15:dlblRangeCache>
                  <c:ptCount val="3"/>
                  <c:pt idx="0">
                    <c:v>52%</c:v>
                  </c:pt>
                  <c:pt idx="1">
                    <c:v>45%</c:v>
                  </c:pt>
                  <c:pt idx="2">
                    <c:v>56%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2816-42C2-A461-38C828BC94F1}"/>
            </c:ext>
          </c:extLst>
        </c:ser>
        <c:ser>
          <c:idx val="3"/>
          <c:order val="3"/>
          <c:tx>
            <c:v>dummy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D5B7B00-DD8A-479C-BCFD-81DDB9C3F462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816-42C2-A461-38C828BC94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B277C4-AC3A-49A3-B4B7-9608C6E710B5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816-42C2-A461-38C828BC94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9BD300E-0DA7-41D4-9B23-51E50E7150A7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816-42C2-A461-38C828BC9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calculation!$AK$10:$AK$12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calculation!$AO$10:$AO$12</c15:f>
                <c15:dlblRangeCache>
                  <c:ptCount val="3"/>
                  <c:pt idx="0">
                    <c:v>21</c:v>
                  </c:pt>
                  <c:pt idx="1">
                    <c:v>44</c:v>
                  </c:pt>
                  <c:pt idx="2">
                    <c:v>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2816-42C2-A461-38C828BC94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690829151"/>
        <c:axId val="690824831"/>
      </c:barChart>
      <c:catAx>
        <c:axId val="690829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4831"/>
        <c:crosses val="autoZero"/>
        <c:auto val="1"/>
        <c:lblAlgn val="ctr"/>
        <c:lblOffset val="100"/>
        <c:noMultiLvlLbl val="0"/>
      </c:catAx>
      <c:valAx>
        <c:axId val="6908248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082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1374005414677497"/>
          <c:y val="0.87614751896170462"/>
          <c:w val="0.41042594085188167"/>
          <c:h val="0.11072912145824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6" fmlaLink="calculation!$D$4" fmlaRange="calculation!$C$13:$C$15" noThreeD="1" sel="2" val="0"/>
</file>

<file path=xl/ctrlProps/ctrlProp2.xml><?xml version="1.0" encoding="utf-8"?>
<formControlPr xmlns="http://schemas.microsoft.com/office/spreadsheetml/2009/9/main" objectType="Scroll" dx="26" fmlaLink="calculation!$D$6" max="25" min="1" page="10"/>
</file>

<file path=xl/ctrlProps/ctrlProp3.xml><?xml version="1.0" encoding="utf-8"?>
<formControlPr xmlns="http://schemas.microsoft.com/office/spreadsheetml/2009/9/main" objectType="Scroll" dx="26" fmlaLink="calculation!$D$5" max="15" min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173316</xdr:colOff>
      <xdr:row>9</xdr:row>
      <xdr:rowOff>108858</xdr:rowOff>
    </xdr:from>
    <xdr:to>
      <xdr:col>1</xdr:col>
      <xdr:colOff>413657</xdr:colOff>
      <xdr:row>27</xdr:row>
      <xdr:rowOff>72572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661C38C6-21D3-4A77-8E3B-01535C7A2931}"/>
            </a:ext>
          </a:extLst>
        </xdr:cNvPr>
        <xdr:cNvSpPr/>
      </xdr:nvSpPr>
      <xdr:spPr>
        <a:xfrm>
          <a:off x="369259" y="1741715"/>
          <a:ext cx="240341" cy="32294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4</xdr:col>
      <xdr:colOff>833716</xdr:colOff>
      <xdr:row>10</xdr:row>
      <xdr:rowOff>152400</xdr:rowOff>
    </xdr:from>
    <xdr:to>
      <xdr:col>4</xdr:col>
      <xdr:colOff>1093694</xdr:colOff>
      <xdr:row>19</xdr:row>
      <xdr:rowOff>116114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3015BAF0-4E1E-1DB8-1927-05B752C07F27}"/>
            </a:ext>
          </a:extLst>
        </xdr:cNvPr>
        <xdr:cNvSpPr/>
      </xdr:nvSpPr>
      <xdr:spPr>
        <a:xfrm>
          <a:off x="3598687" y="1966686"/>
          <a:ext cx="259978" cy="15965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1189322</xdr:colOff>
          <xdr:row>11</xdr:row>
          <xdr:rowOff>50259</xdr:rowOff>
        </xdr:from>
        <xdr:to>
          <xdr:col>6</xdr:col>
          <xdr:colOff>455025</xdr:colOff>
          <xdr:row>19</xdr:row>
          <xdr:rowOff>446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99794130-5EA2-4A0C-8B9D-1E6A8E26BC5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AL$42:$AP$47" spid="_x0000_s726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954293" y="2045973"/>
              <a:ext cx="4345703" cy="140010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481791</xdr:colOff>
          <xdr:row>6</xdr:row>
          <xdr:rowOff>143436</xdr:rowOff>
        </xdr:from>
        <xdr:to>
          <xdr:col>4</xdr:col>
          <xdr:colOff>784550</xdr:colOff>
          <xdr:row>31</xdr:row>
          <xdr:rowOff>89648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740FB31A-BD47-452B-AAE0-821B0B2FF10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V$76:$W$82" spid="_x0000_s726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77440" y="1255544"/>
              <a:ext cx="2877083" cy="457999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7</xdr:col>
      <xdr:colOff>103287</xdr:colOff>
      <xdr:row>6</xdr:row>
      <xdr:rowOff>50768</xdr:rowOff>
    </xdr:from>
    <xdr:to>
      <xdr:col>18</xdr:col>
      <xdr:colOff>53781</xdr:colOff>
      <xdr:row>18</xdr:row>
      <xdr:rowOff>83901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D2D4F9-296E-44E2-BC01-CDD8A661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91050</xdr:colOff>
      <xdr:row>19</xdr:row>
      <xdr:rowOff>23975</xdr:rowOff>
    </xdr:from>
    <xdr:to>
      <xdr:col>17</xdr:col>
      <xdr:colOff>609193</xdr:colOff>
      <xdr:row>31</xdr:row>
      <xdr:rowOff>57106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07F490-1597-41EF-B3FE-780D3B1B2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1303100</xdr:colOff>
      <xdr:row>6</xdr:row>
      <xdr:rowOff>81252</xdr:rowOff>
    </xdr:from>
    <xdr:to>
      <xdr:col>4</xdr:col>
      <xdr:colOff>2525596</xdr:colOff>
      <xdr:row>10</xdr:row>
      <xdr:rowOff>152596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5690D35-8297-42B3-AD96-94268E8F090F}"/>
            </a:ext>
          </a:extLst>
        </xdr:cNvPr>
        <xdr:cNvGrpSpPr/>
      </xdr:nvGrpSpPr>
      <xdr:grpSpPr>
        <a:xfrm>
          <a:off x="4068071" y="1169823"/>
          <a:ext cx="1222496" cy="797059"/>
          <a:chOff x="6126480" y="213360"/>
          <a:chExt cx="2872740" cy="118110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6844B818-949A-425D-29A4-19970178228C}"/>
              </a:ext>
            </a:extLst>
          </xdr:cNvPr>
          <xdr:cNvSpPr/>
        </xdr:nvSpPr>
        <xdr:spPr>
          <a:xfrm>
            <a:off x="6126480" y="213360"/>
            <a:ext cx="2872740" cy="1181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D" sz="1100" kern="12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48FF0004-5291-A59F-333A-92AAF7A998D2}"/>
              </a:ext>
            </a:extLst>
          </xdr:cNvPr>
          <xdr:cNvSpPr txBox="1"/>
        </xdr:nvSpPr>
        <xdr:spPr>
          <a:xfrm>
            <a:off x="6256020" y="342901"/>
            <a:ext cx="2494445" cy="39715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1000" b="1" kern="1200"/>
              <a:t>Total Reviews</a:t>
            </a:r>
          </a:p>
        </xdr:txBody>
      </xdr:sp>
      <xdr:sp macro="" textlink="calculation!C18">
        <xdr:nvSpPr>
          <xdr:cNvPr id="10" name="TextBox 9">
            <a:extLst>
              <a:ext uri="{FF2B5EF4-FFF2-40B4-BE49-F238E27FC236}">
                <a16:creationId xmlns:a16="http://schemas.microsoft.com/office/drawing/2014/main" id="{04A75226-DF55-2278-B4B5-A8CE7F88BED9}"/>
              </a:ext>
            </a:extLst>
          </xdr:cNvPr>
          <xdr:cNvSpPr txBox="1"/>
        </xdr:nvSpPr>
        <xdr:spPr>
          <a:xfrm>
            <a:off x="6273777" y="815107"/>
            <a:ext cx="2561472" cy="55317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DE615A2-5C5F-47FD-9917-659596F31C07}" type="TxLink">
              <a:rPr lang="en-US" sz="2400" b="1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99</a:t>
            </a:fld>
            <a:endParaRPr lang="en-ID" sz="4400" b="1" kern="1200"/>
          </a:p>
        </xdr:txBody>
      </xdr:sp>
    </xdr:grpSp>
    <xdr:clientData/>
  </xdr:twoCellAnchor>
  <xdr:twoCellAnchor>
    <xdr:from>
      <xdr:col>4</xdr:col>
      <xdr:colOff>2717357</xdr:colOff>
      <xdr:row>6</xdr:row>
      <xdr:rowOff>90406</xdr:rowOff>
    </xdr:from>
    <xdr:to>
      <xdr:col>5</xdr:col>
      <xdr:colOff>1051177</xdr:colOff>
      <xdr:row>10</xdr:row>
      <xdr:rowOff>161750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58FEFF29-3835-4CB5-B8D3-7AA78752E00A}"/>
            </a:ext>
          </a:extLst>
        </xdr:cNvPr>
        <xdr:cNvGrpSpPr/>
      </xdr:nvGrpSpPr>
      <xdr:grpSpPr>
        <a:xfrm>
          <a:off x="5482328" y="1178977"/>
          <a:ext cx="1367306" cy="797059"/>
          <a:chOff x="6126481" y="213360"/>
          <a:chExt cx="3009580" cy="1181100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9C5038B-2897-C3EC-8C6B-611B5DF7DA8F}"/>
              </a:ext>
            </a:extLst>
          </xdr:cNvPr>
          <xdr:cNvSpPr/>
        </xdr:nvSpPr>
        <xdr:spPr>
          <a:xfrm>
            <a:off x="6126481" y="213360"/>
            <a:ext cx="2872742" cy="1181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D" sz="1100" kern="1200"/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102F4618-9FF3-1386-F5E1-E9D3975D2F4B}"/>
              </a:ext>
            </a:extLst>
          </xdr:cNvPr>
          <xdr:cNvSpPr txBox="1"/>
        </xdr:nvSpPr>
        <xdr:spPr>
          <a:xfrm>
            <a:off x="6256022" y="342901"/>
            <a:ext cx="2880039" cy="71582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1000" b="1" kern="1200"/>
              <a:t>Sentiment Positive Rate</a:t>
            </a:r>
          </a:p>
        </xdr:txBody>
      </xdr:sp>
      <xdr:sp macro="" textlink="calculation!C20">
        <xdr:nvSpPr>
          <xdr:cNvPr id="22" name="TextBox 21">
            <a:extLst>
              <a:ext uri="{FF2B5EF4-FFF2-40B4-BE49-F238E27FC236}">
                <a16:creationId xmlns:a16="http://schemas.microsoft.com/office/drawing/2014/main" id="{06A89713-F69E-E820-24DB-876A427C0FD8}"/>
              </a:ext>
            </a:extLst>
          </xdr:cNvPr>
          <xdr:cNvSpPr txBox="1"/>
        </xdr:nvSpPr>
        <xdr:spPr>
          <a:xfrm>
            <a:off x="6263638" y="808856"/>
            <a:ext cx="2561472" cy="55317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4D6D72F-8509-49AB-AAE8-769382342997}" type="TxLink">
              <a:rPr lang="en-US" sz="2400" b="1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41%</a:t>
            </a:fld>
            <a:endParaRPr lang="en-ID" sz="8000" b="1" kern="1200"/>
          </a:p>
        </xdr:txBody>
      </xdr:sp>
    </xdr:grpSp>
    <xdr:clientData/>
  </xdr:twoCellAnchor>
  <xdr:twoCellAnchor>
    <xdr:from>
      <xdr:col>5</xdr:col>
      <xdr:colOff>1203640</xdr:colOff>
      <xdr:row>6</xdr:row>
      <xdr:rowOff>83661</xdr:rowOff>
    </xdr:from>
    <xdr:to>
      <xdr:col>6</xdr:col>
      <xdr:colOff>417223</xdr:colOff>
      <xdr:row>10</xdr:row>
      <xdr:rowOff>155005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42C8A8D8-B533-4566-B29C-D75A5E06B269}"/>
            </a:ext>
          </a:extLst>
        </xdr:cNvPr>
        <xdr:cNvGrpSpPr/>
      </xdr:nvGrpSpPr>
      <xdr:grpSpPr>
        <a:xfrm>
          <a:off x="7002097" y="1172232"/>
          <a:ext cx="1260097" cy="797059"/>
          <a:chOff x="6093980" y="213360"/>
          <a:chExt cx="3042081" cy="1181100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0655805-1983-E600-1E75-CEE7598C1788}"/>
              </a:ext>
            </a:extLst>
          </xdr:cNvPr>
          <xdr:cNvSpPr/>
        </xdr:nvSpPr>
        <xdr:spPr>
          <a:xfrm>
            <a:off x="6126480" y="213360"/>
            <a:ext cx="2872740" cy="1181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D" sz="1100" kern="12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1DED3D45-7C5F-A0AB-9943-B069F19207AD}"/>
              </a:ext>
            </a:extLst>
          </xdr:cNvPr>
          <xdr:cNvSpPr txBox="1"/>
        </xdr:nvSpPr>
        <xdr:spPr>
          <a:xfrm>
            <a:off x="6093980" y="342901"/>
            <a:ext cx="3042081" cy="71582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1000" b="1" kern="1200"/>
              <a:t>Sentiment Negative Rate</a:t>
            </a:r>
          </a:p>
        </xdr:txBody>
      </xdr:sp>
      <xdr:sp macro="" textlink="calculation!C19">
        <xdr:nvSpPr>
          <xdr:cNvPr id="30" name="TextBox 29">
            <a:extLst>
              <a:ext uri="{FF2B5EF4-FFF2-40B4-BE49-F238E27FC236}">
                <a16:creationId xmlns:a16="http://schemas.microsoft.com/office/drawing/2014/main" id="{17D88909-A8F1-4F52-5080-719AA4634311}"/>
              </a:ext>
            </a:extLst>
          </xdr:cNvPr>
          <xdr:cNvSpPr txBox="1"/>
        </xdr:nvSpPr>
        <xdr:spPr>
          <a:xfrm>
            <a:off x="6263638" y="808856"/>
            <a:ext cx="2561472" cy="55317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8CCC523-6C68-4956-8041-300100E619B8}" type="TxLink">
              <a:rPr lang="en-US" sz="2400" b="1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8%</a:t>
            </a:fld>
            <a:endParaRPr lang="en-ID" sz="8000" b="1" kern="1200"/>
          </a:p>
        </xdr:txBody>
      </xdr:sp>
    </xdr:grpSp>
    <xdr:clientData/>
  </xdr:twoCellAnchor>
  <xdr:twoCellAnchor>
    <xdr:from>
      <xdr:col>4</xdr:col>
      <xdr:colOff>846666</xdr:colOff>
      <xdr:row>19</xdr:row>
      <xdr:rowOff>174060</xdr:rowOff>
    </xdr:from>
    <xdr:to>
      <xdr:col>6</xdr:col>
      <xdr:colOff>476250</xdr:colOff>
      <xdr:row>31</xdr:row>
      <xdr:rowOff>74083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6630E1E-3A85-8115-7265-1E6A42711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220455</xdr:colOff>
      <xdr:row>2</xdr:row>
      <xdr:rowOff>15985</xdr:rowOff>
    </xdr:from>
    <xdr:to>
      <xdr:col>4</xdr:col>
      <xdr:colOff>1442951</xdr:colOff>
      <xdr:row>6</xdr:row>
      <xdr:rowOff>10657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FA7D317A-4183-4633-9215-2DE85FA0CC29}"/>
            </a:ext>
          </a:extLst>
        </xdr:cNvPr>
        <xdr:cNvGrpSpPr/>
      </xdr:nvGrpSpPr>
      <xdr:grpSpPr>
        <a:xfrm>
          <a:off x="2985426" y="378842"/>
          <a:ext cx="1222496" cy="720386"/>
          <a:chOff x="6126480" y="213360"/>
          <a:chExt cx="2872740" cy="1181100"/>
        </a:xfrm>
      </xdr:grpSpPr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457F7944-55BA-C08A-F88E-54492F3163D5}"/>
              </a:ext>
            </a:extLst>
          </xdr:cNvPr>
          <xdr:cNvSpPr/>
        </xdr:nvSpPr>
        <xdr:spPr>
          <a:xfrm>
            <a:off x="6126480" y="213360"/>
            <a:ext cx="2872740" cy="1181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D" sz="1100" kern="1200"/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945DD8A1-E57A-9431-2943-8A7C2D5598C7}"/>
              </a:ext>
            </a:extLst>
          </xdr:cNvPr>
          <xdr:cNvSpPr txBox="1"/>
        </xdr:nvSpPr>
        <xdr:spPr>
          <a:xfrm>
            <a:off x="6256020" y="342901"/>
            <a:ext cx="2494445" cy="39715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1000" b="1" kern="1200"/>
              <a:t>Select Topic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487680</xdr:colOff>
          <xdr:row>4</xdr:row>
          <xdr:rowOff>53340</xdr:rowOff>
        </xdr:from>
        <xdr:to>
          <xdr:col>4</xdr:col>
          <xdr:colOff>1333500</xdr:colOff>
          <xdr:row>5</xdr:row>
          <xdr:rowOff>83820</xdr:rowOff>
        </xdr:to>
        <xdr:sp macro="" textlink="">
          <xdr:nvSpPr>
            <xdr:cNvPr id="7222" name="Drop Down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0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883920</xdr:colOff>
          <xdr:row>11</xdr:row>
          <xdr:rowOff>38100</xdr:rowOff>
        </xdr:from>
        <xdr:to>
          <xdr:col>4</xdr:col>
          <xdr:colOff>1043940</xdr:colOff>
          <xdr:row>19</xdr:row>
          <xdr:rowOff>15240</xdr:rowOff>
        </xdr:to>
        <xdr:sp macro="" textlink="">
          <xdr:nvSpPr>
            <xdr:cNvPr id="7172" name="Scroll Bar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</xdr:colOff>
          <xdr:row>9</xdr:row>
          <xdr:rowOff>167640</xdr:rowOff>
        </xdr:from>
        <xdr:to>
          <xdr:col>1</xdr:col>
          <xdr:colOff>350520</xdr:colOff>
          <xdr:row>27</xdr:row>
          <xdr:rowOff>38100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ha Tegar" refreshedDate="45616.557167013889" backgroundQuery="1" createdVersion="8" refreshedVersion="8" minRefreshableVersion="3" recordCount="0" supportSubquery="1" supportAdvancedDrill="1" xr:uid="{2CF036AC-1C4A-4BB4-A5BA-0EF0AC37030B}">
  <cacheSource type="external" connectionId="1"/>
  <cacheFields count="4">
    <cacheField name="[Table2].[aspect].[aspect]" caption="aspect" numFmtId="0" hierarchy="1" level="1">
      <sharedItems count="31">
        <s v="buying"/>
        <s v="deal"/>
        <s v="experience"/>
        <s v="fixing"/>
        <s v="job"/>
        <s v="layout"/>
        <s v="long lines"/>
        <s v="one"/>
        <s v="phone"/>
        <s v="phone plan"/>
        <s v="phones issue"/>
        <s v="place"/>
        <s v="plan"/>
        <s v="policy"/>
        <s v="price"/>
        <s v="process"/>
        <s v="question"/>
        <s v="repair"/>
        <s v="representative"/>
        <s v="return window"/>
        <s v="same issue"/>
        <s v="selection"/>
        <s v="service"/>
        <s v="staff"/>
        <s v="store"/>
        <s v="support"/>
        <s v="technician"/>
        <s v="time"/>
        <s v="variety"/>
        <s v="warranty"/>
        <s v="warranty service"/>
      </sharedItems>
    </cacheField>
    <cacheField name="[Table2].[topic_dominant].[topic_dominant]" caption="topic_dominant" numFmtId="0" hierarchy="6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Table2].[topic_dominant].&amp;[1]"/>
            <x15:cachedUniqueName index="1" name="[Table2].[topic_dominant].&amp;[2]"/>
            <x15:cachedUniqueName index="2" name="[Table2].[topic_dominant].&amp;[3]"/>
          </x15:cachedUniqueNames>
        </ext>
      </extLst>
    </cacheField>
    <cacheField name="[Measures].[Distinct Count of id]" caption="Distinct Count of id" numFmtId="0" hierarchy="10" level="32767"/>
    <cacheField name="[Table2].[sentiment].[sentiment]" caption="sentiment" numFmtId="0" hierarchy="5" level="1">
      <sharedItems count="3">
        <s v="Negative"/>
        <s v="Neutral"/>
        <s v="Positive"/>
      </sharedItems>
    </cacheField>
  </cacheFields>
  <cacheHierarchies count="13"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aspect]" caption="aspect" attribute="1" defaultMemberUniqueName="[Table2].[aspect].[All]" allUniqueName="[Table2].[aspec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type_property]" caption="type_property" attribute="1" defaultMemberUniqueName="[Table2].[type_property].[All]" allUniqueName="[Table2].[type_property].[All]" dimensionUniqueName="[Table2]" displayFolder="" count="0" memberValueDatatype="130" unbalanced="0"/>
    <cacheHierarchy uniqueName="[Table2].[keyword]" caption="keyword" attribute="1" defaultMemberUniqueName="[Table2].[keyword].[All]" allUniqueName="[Table2].[keyword].[All]" dimensionUniqueName="[Table2]" displayFolder="" count="0" memberValueDatatype="130" unbalanced="0"/>
    <cacheHierarchy uniqueName="[Table2].[part_sentence]" caption="part_sentence" attribute="1" defaultMemberUniqueName="[Table2].[part_sentence].[All]" allUniqueName="[Table2].[part_sentence].[All]" dimensionUniqueName="[Table2]" displayFolder="" count="0" memberValueDatatype="130" unbalanced="0"/>
    <cacheHierarchy uniqueName="[Table2].[sentiment]" caption="sentiment" attribute="1" defaultMemberUniqueName="[Table2].[sentiment].[All]" allUniqueName="[Table2].[sentiment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topic_dominant]" caption="topic_dominant" attribute="1" defaultMemberUniqueName="[Table2].[topic_dominant].[All]" allUniqueName="[Table2].[topic_dominant].[All]" dimensionUniqueName="[Table2]" displayFolder="" count="2" memberValueDatatype="20" unbalanced="0">
      <fieldsUsage count="2">
        <fieldUsage x="-1"/>
        <fieldUsage x="1"/>
      </fieldsUsage>
    </cacheHierarchy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ype_property]" caption="Count of type_property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entiment]" caption="Count of senti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ha Tegar" refreshedDate="45616.710425925929" createdVersion="8" refreshedVersion="8" minRefreshableVersion="3" recordCount="99" xr:uid="{0EB46742-E80B-4074-9AA6-92CEE6102AAE}">
  <cacheSource type="worksheet">
    <worksheetSource name="Table1"/>
  </cacheSource>
  <cacheFields count="7">
    <cacheField name="id" numFmtId="0">
      <sharedItems containsSemiMixedTypes="0" containsString="0" containsNumber="1" containsInteger="1" minValue="1" maxValue="99"/>
    </cacheField>
    <cacheField name="review" numFmtId="0">
      <sharedItems/>
    </cacheField>
    <cacheField name="date" numFmtId="14">
      <sharedItems containsSemiMixedTypes="0" containsNonDate="0" containsDate="1" containsString="0" minDate="2024-11-01T00:00:00" maxDate="2024-11-18T00:00:00" count="17">
        <d v="2024-11-12T00:00:00"/>
        <d v="2024-11-10T00:00:00"/>
        <d v="2024-11-14T00:00:00"/>
        <d v="2024-11-16T00:00:00"/>
        <d v="2024-11-01T00:00:00"/>
        <d v="2024-11-13T00:00:00"/>
        <d v="2024-11-17T00:00:00"/>
        <d v="2024-11-06T00:00:00"/>
        <d v="2024-11-04T00:00:00"/>
        <d v="2024-11-08T00:00:00"/>
        <d v="2024-11-02T00:00:00"/>
        <d v="2024-11-03T00:00:00"/>
        <d v="2024-11-05T00:00:00"/>
        <d v="2024-11-07T00:00:00"/>
        <d v="2024-11-09T00:00:00"/>
        <d v="2024-11-11T00:00:00"/>
        <d v="2024-11-15T00:00:00"/>
      </sharedItems>
    </cacheField>
    <cacheField name="sentiment" numFmtId="0">
      <sharedItems count="3">
        <s v="Neutral"/>
        <s v="Positive"/>
        <s v="Negative"/>
      </sharedItems>
    </cacheField>
    <cacheField name="topic_dominant" numFmtId="0">
      <sharedItems containsSemiMixedTypes="0" containsString="0" containsNumber="1" containsInteger="1" minValue="1" maxValue="3" count="3">
        <n v="1"/>
        <n v="2"/>
        <n v="3"/>
      </sharedItems>
    </cacheField>
    <cacheField name="topic_contribution" numFmtId="0">
      <sharedItems containsSemiMixedTypes="0" containsString="0" containsNumber="1" minValue="0.40149998664855963" maxValue="0.76709997653961182"/>
    </cacheField>
    <cacheField name="aspect_based_senti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68"/>
    <s v="I bought a phone, but they didn’t inform me of all the hidden fees."/>
    <x v="0"/>
    <x v="0"/>
    <x v="0"/>
    <n v="0.65410000085830688"/>
    <s v="● staff - buy : Neutral_x000a_"/>
  </r>
  <r>
    <n v="58"/>
    <s v="I received excellent advice from the sales team, they really know their products."/>
    <x v="1"/>
    <x v="1"/>
    <x v="0"/>
    <n v="0.65299999713897705"/>
    <s v="● store - know, receive : Positive_x000a_● store - know : Positive_x000a_"/>
  </r>
  <r>
    <n v="84"/>
    <s v="The store was messy and understaffed."/>
    <x v="2"/>
    <x v="2"/>
    <x v="0"/>
    <n v="0.64889997243881226"/>
    <s v="● store - understaffed : Neutral_x000a_● store - messy : Negative_x000a_"/>
  </r>
  <r>
    <n v="93"/>
    <s v="The store was chaotic, with long lines and unhelpful staff."/>
    <x v="3"/>
    <x v="2"/>
    <x v="0"/>
    <n v="0.63220000267028809"/>
    <s v="● long lines - lines : Negative_x000a_"/>
  </r>
  <r>
    <n v="5"/>
    <s v="Great customer service, I left with the phone I wanted and all my questions answered."/>
    <x v="4"/>
    <x v="0"/>
    <x v="0"/>
    <n v="0.62529999017715454"/>
    <s v="● question - answer : Neutral_x000a_"/>
  </r>
  <r>
    <n v="75"/>
    <s v="I felt pressured to buy accessories I didn’t need."/>
    <x v="5"/>
    <x v="0"/>
    <x v="0"/>
    <n v="0.62309998273849487"/>
    <s v="● staff - feel : Neutral_x000a_"/>
  </r>
  <r>
    <n v="96"/>
    <s v="I felt overcharged for a simple screen repair."/>
    <x v="6"/>
    <x v="0"/>
    <x v="0"/>
    <n v="0.62309998273849487"/>
    <s v="● staff - feel : Neutral_x000a_"/>
  </r>
  <r>
    <n v="42"/>
    <s v="Their warranty plan is worth every penny, such a relief!"/>
    <x v="7"/>
    <x v="1"/>
    <x v="0"/>
    <n v="0.61549997329711914"/>
    <s v="● plan - worth : Positive_x000a_"/>
  </r>
  <r>
    <n v="26"/>
    <s v="Best phone store in town, hands down!"/>
    <x v="8"/>
    <x v="0"/>
    <x v="0"/>
    <n v="0.6021999716758728"/>
    <s v="● store - hand : Neutral_x000a_"/>
  </r>
  <r>
    <n v="80"/>
    <s v="They upsold me on a phone plan I didn’t need, very deceptive."/>
    <x v="2"/>
    <x v="0"/>
    <x v="0"/>
    <n v="0.571399986743927"/>
    <s v="● store - upsold : Neutral_x000a_● store - upsold : Neutral_x000a_"/>
  </r>
  <r>
    <n v="51"/>
    <s v="This is my go-to store for any phone issues, always reliable."/>
    <x v="9"/>
    <x v="0"/>
    <x v="0"/>
    <n v="0.56029999256134033"/>
    <s v="● staff - reliable : Neutral_x000a_"/>
  </r>
  <r>
    <n v="20"/>
    <s v="Very professional and friendly service, I’m super satisfied!"/>
    <x v="10"/>
    <x v="1"/>
    <x v="0"/>
    <n v="0.55870002508163452"/>
    <s v="● staff - m : Positive_x000a_"/>
  </r>
  <r>
    <n v="21"/>
    <s v="Great variety of phones, and the staff was very patient with my questions."/>
    <x v="11"/>
    <x v="0"/>
    <x v="0"/>
    <n v="0.53460001945495605"/>
    <s v="● variety - patient : Neutral_x000a_"/>
  </r>
  <r>
    <n v="54"/>
    <s v="They resolved my issue very quickly and professionally."/>
    <x v="1"/>
    <x v="1"/>
    <x v="0"/>
    <n v="0.51469999551773071"/>
    <s v="● store - resolve : Positive_x000a_● store - resolve : Positive_x000a_● store - resolve : Neutral_x000a_"/>
  </r>
  <r>
    <n v="23"/>
    <s v="They helped me choose a phone within my budget, which I really appreciated."/>
    <x v="11"/>
    <x v="0"/>
    <x v="0"/>
    <n v="0.50770002603530884"/>
    <s v="● store - help, choose : Neutral_x000a_● store - help, choose : Neutral_x000a_"/>
  </r>
  <r>
    <n v="12"/>
    <s v="Prices were reasonable and the staff very courteous!"/>
    <x v="4"/>
    <x v="1"/>
    <x v="0"/>
    <n v="0.50309997797012329"/>
    <s v="● price - reasonable : Positive_x000a_"/>
  </r>
  <r>
    <n v="60"/>
    <s v="I had to wait over an hour to be helped, and the staff wasn’t apologetic at all."/>
    <x v="1"/>
    <x v="0"/>
    <x v="0"/>
    <n v="0.49410000443458563"/>
    <s v="● staff - apologetic : Neutral_x000a_"/>
  </r>
  <r>
    <n v="81"/>
    <s v="The staff was unprofessional and seemed like they didn’t want to be there."/>
    <x v="2"/>
    <x v="0"/>
    <x v="0"/>
    <n v="0.49399998784065252"/>
    <s v="● staff - unprofessional : Neutral_x000a_"/>
  </r>
  <r>
    <n v="25"/>
    <s v="I’m a loyal customer because their customer service is always outstanding."/>
    <x v="11"/>
    <x v="1"/>
    <x v="0"/>
    <n v="0.49230000376701349"/>
    <s v="● service - outstanding : Positive_x000a_"/>
  </r>
  <r>
    <n v="77"/>
    <s v="Customer service was extremely slow, they need to hire more staff."/>
    <x v="5"/>
    <x v="2"/>
    <x v="0"/>
    <n v="0.49219998717308039"/>
    <s v="● service - slow : Negative_x000a_"/>
  </r>
  <r>
    <n v="6"/>
    <s v="They offer amazing deals on phones, I couldn’t resist upgrading."/>
    <x v="4"/>
    <x v="1"/>
    <x v="0"/>
    <n v="0.43239998817443848"/>
    <s v="● staff - resist, offer : Positive_x000a_● staff - resist : Neutral_x000a_"/>
  </r>
  <r>
    <n v="57"/>
    <s v="I always leave this store feeling like I made the right purchase."/>
    <x v="1"/>
    <x v="1"/>
    <x v="1"/>
    <n v="0.76709997653961182"/>
    <s v="● staff - leave : Neutral_x000a_● staff - make : Positive_x000a_"/>
  </r>
  <r>
    <n v="69"/>
    <s v="Staff seemed untrained and gave me incorrect information about the phone plan."/>
    <x v="0"/>
    <x v="0"/>
    <x v="1"/>
    <n v="0.7663000226020813"/>
    <s v="● phone plan - give : Neutral_x000a_"/>
  </r>
  <r>
    <n v="4"/>
    <s v="I appreciate how the staff walked me through setting up my new device."/>
    <x v="4"/>
    <x v="1"/>
    <x v="1"/>
    <n v="0.76510000228881836"/>
    <s v="● staff - appreciate, walk : Neutral_x000a_● staff - appreciate, walk : Positive_x000a_"/>
  </r>
  <r>
    <n v="37"/>
    <s v="I’ve been to many phone stores, but this one by far provides the best service."/>
    <x v="12"/>
    <x v="1"/>
    <x v="1"/>
    <n v="0.75230002403259277"/>
    <s v="● one - provide : Positive_x000a_"/>
  </r>
  <r>
    <n v="35"/>
    <s v="The store layout is easy to navigate and staff are always ready to help."/>
    <x v="12"/>
    <x v="1"/>
    <x v="1"/>
    <n v="0.75120002031326294"/>
    <s v="● staff - ready : Positive_x000a_"/>
  </r>
  <r>
    <n v="29"/>
    <s v="This store has a fantastic warranty service!"/>
    <x v="8"/>
    <x v="1"/>
    <x v="1"/>
    <n v="0.74889999628067017"/>
    <s v="● store - have : Positive_x000a_"/>
  </r>
  <r>
    <n v="71"/>
    <s v="I had to return a faulty phone twice before they finally gave me a refund."/>
    <x v="5"/>
    <x v="0"/>
    <x v="1"/>
    <n v="0.74690002202987671"/>
    <s v="● staff - have, return : Neutral_x000a_"/>
  </r>
  <r>
    <n v="74"/>
    <s v="They refused to honor the promotion I came in for, very misleading."/>
    <x v="5"/>
    <x v="0"/>
    <x v="1"/>
    <n v="0.73809999227523804"/>
    <s v="● store - refuse, honor : Neutral_x000a_"/>
  </r>
  <r>
    <n v="47"/>
    <s v="Service was quick and efficient, I was in and out within 15 minutes!"/>
    <x v="13"/>
    <x v="0"/>
    <x v="1"/>
    <n v="0.7379000186920166"/>
    <s v="● service - quick : Positive_x000a_● service - efficient : Neutral_x000a_"/>
  </r>
  <r>
    <n v="36"/>
    <s v="Best pricing for phone plans, they helped me save a lot!"/>
    <x v="12"/>
    <x v="0"/>
    <x v="1"/>
    <n v="0.73489999771118164"/>
    <s v="● store - help, save : Neutral_x000a_"/>
  </r>
  <r>
    <n v="48"/>
    <s v="They even helped me transfer all my contacts and data without extra charge."/>
    <x v="9"/>
    <x v="0"/>
    <x v="1"/>
    <n v="0.73390001058578491"/>
    <s v="● store - help, transfer : Neutral_x000a_● store - help, transfer : Neutral_x000a_● store - help, transfer : Neutral_x000a_"/>
  </r>
  <r>
    <n v="56"/>
    <s v="Highly recommend this store if you’re looking for good deals on phones!"/>
    <x v="1"/>
    <x v="1"/>
    <x v="1"/>
    <n v="0.72990000247955322"/>
    <s v="● store - look : Positive_x000a_"/>
  </r>
  <r>
    <n v="31"/>
    <s v="Excellent store for buying phone accessories, so much variety!"/>
    <x v="8"/>
    <x v="1"/>
    <x v="1"/>
    <n v="0.72369998693466187"/>
    <s v="● store - excellent : Positive_x000a_"/>
  </r>
  <r>
    <n v="52"/>
    <s v="They offer fantastic promotions and discounts!"/>
    <x v="14"/>
    <x v="1"/>
    <x v="1"/>
    <n v="0.7225000262260437"/>
    <s v="● store - offer : Positive_x000a_● store - offer : Neutral_x000a_"/>
  </r>
  <r>
    <n v="63"/>
    <s v="Customer service is poor, no one seemed interested in helping me."/>
    <x v="15"/>
    <x v="2"/>
    <x v="1"/>
    <n v="0.71729999780654907"/>
    <s v="● service - poor : Negative_x000a_"/>
  </r>
  <r>
    <n v="65"/>
    <s v="The staff was rude and unhelpful, I’m never coming back."/>
    <x v="15"/>
    <x v="0"/>
    <x v="1"/>
    <n v="0.71109998226165771"/>
    <s v="● staff - rude : Negative_x000a_● staff - unhelpful : Neutral_x000a_"/>
  </r>
  <r>
    <n v="82"/>
    <s v="Their return policy is awful, I couldn’t exchange my phone despite its defects."/>
    <x v="2"/>
    <x v="2"/>
    <x v="1"/>
    <n v="0.70819997787475586"/>
    <s v="● policy - awful : Negative_x000a_"/>
  </r>
  <r>
    <n v="86"/>
    <s v="They kept trying to sell me more expensive phones when I clearly stated my budget."/>
    <x v="2"/>
    <x v="0"/>
    <x v="1"/>
    <n v="0.70819997787475586"/>
    <s v="● store - keep, try : Neutral_x000a_"/>
  </r>
  <r>
    <n v="9"/>
    <s v="I found the perfect phone case here, and the variety was impressive."/>
    <x v="4"/>
    <x v="1"/>
    <x v="1"/>
    <n v="0.70779997110366821"/>
    <s v="● variety - impressive : Positive_x000a_"/>
  </r>
  <r>
    <n v="14"/>
    <s v="Excellent service! They helped me find exactly what I was looking for."/>
    <x v="4"/>
    <x v="1"/>
    <x v="1"/>
    <n v="0.70670002698898315"/>
    <s v="● service - excellent : Positive_x000a_"/>
  </r>
  <r>
    <n v="67"/>
    <s v="Phone repairs took way too long, I had to come back multiple times."/>
    <x v="0"/>
    <x v="0"/>
    <x v="1"/>
    <n v="0.70399999618530273"/>
    <s v="● staff - have, take : Negative_x000a_● staff - have, take : Neutral_x000a_"/>
  </r>
  <r>
    <n v="15"/>
    <s v="Great deals on accessories, and the staff was super friendly!"/>
    <x v="4"/>
    <x v="1"/>
    <x v="1"/>
    <n v="0.70200002193450928"/>
    <s v="● staff - friendly : Positive_x000a_"/>
  </r>
  <r>
    <n v="38"/>
    <s v="Customer service here is top-notch, they always resolve my issues quickly."/>
    <x v="12"/>
    <x v="0"/>
    <x v="1"/>
    <n v="0.7006000280380249"/>
    <s v="● service - notch : Neutral_x000a_● service - notch : Neutral_x000a_"/>
  </r>
  <r>
    <n v="70"/>
    <s v="Their warranty is useless, they refused to fix my phone under it."/>
    <x v="0"/>
    <x v="2"/>
    <x v="1"/>
    <n v="0.70029997825622559"/>
    <s v="● warranty - useless : Negative_x000a_"/>
  </r>
  <r>
    <n v="43"/>
    <s v="I appreciate how they were able to fix my phone on the same day."/>
    <x v="7"/>
    <x v="1"/>
    <x v="1"/>
    <n v="0.69809997081756592"/>
    <s v="● staff - appreciate, be : Positive_x000a_"/>
  </r>
  <r>
    <n v="27"/>
    <s v="The staff made sure I was completely comfortable with my purchase."/>
    <x v="8"/>
    <x v="0"/>
    <x v="1"/>
    <n v="0.69749999046325684"/>
    <s v="● staff - make : Neutral_x000a_"/>
  </r>
  <r>
    <n v="55"/>
    <s v="I love how organized the store is and how fast they attend to customers."/>
    <x v="1"/>
    <x v="0"/>
    <x v="1"/>
    <n v="0.69489997625350952"/>
    <s v="● store - organize : Neutral_x000a_"/>
  </r>
  <r>
    <n v="30"/>
    <s v="The staff was very informative, I learned a lot about phone features I didn’t know about."/>
    <x v="8"/>
    <x v="0"/>
    <x v="1"/>
    <n v="0.69340002536773682"/>
    <s v="● staff - informative : Neutral_x000a_"/>
  </r>
  <r>
    <n v="45"/>
    <s v="The staff was very accommodating when I had questions about phone features."/>
    <x v="13"/>
    <x v="0"/>
    <x v="1"/>
    <n v="0.69340002536773682"/>
    <s v="● staff - accommodating : Neutral_x000a_"/>
  </r>
  <r>
    <n v="59"/>
    <s v="Very happy with the repair service here, my phone looks brand new!"/>
    <x v="1"/>
    <x v="1"/>
    <x v="1"/>
    <n v="0.68269997835159302"/>
    <s v="● phone - look : Positive_x000a_"/>
  </r>
  <r>
    <n v="33"/>
    <s v="They were super quick in setting up my phone, I was out of there in no time."/>
    <x v="8"/>
    <x v="1"/>
    <x v="1"/>
    <n v="0.67059999704360962"/>
    <s v="● store - quick : Positive_x000a_"/>
  </r>
  <r>
    <n v="72"/>
    <s v="Very disorganized, I waited forever just to get a simple issue resolved."/>
    <x v="5"/>
    <x v="1"/>
    <x v="1"/>
    <n v="0.65759998559951782"/>
    <s v="● staff - wait : Positive_x000a_"/>
  </r>
  <r>
    <n v="92"/>
    <s v="Phone stopped working just outside the return window, terrible quality."/>
    <x v="3"/>
    <x v="0"/>
    <x v="1"/>
    <n v="0.633899986743927"/>
    <s v="● phone - stop, work : Neutral_x000a_● phone - stop : Neutral_x000a_"/>
  </r>
  <r>
    <n v="8"/>
    <s v="Fantastic experience, the staff really know their stuff!"/>
    <x v="4"/>
    <x v="1"/>
    <x v="1"/>
    <n v="0.56849998235702515"/>
    <s v="● experience - know : Positive_x000a_"/>
  </r>
  <r>
    <n v="18"/>
    <s v="Their repair services are quick and reliable."/>
    <x v="10"/>
    <x v="0"/>
    <x v="1"/>
    <n v="0.54369997978210449"/>
    <s v="● service - quick : Positive_x000a_● service - reliable : Neutral_x000a_"/>
  </r>
  <r>
    <n v="40"/>
    <s v="The staff took the time to show me all my options, no pressure sales."/>
    <x v="7"/>
    <x v="0"/>
    <x v="1"/>
    <n v="0.52369999885559082"/>
    <s v="● staff - take : Neutral_x000a_"/>
  </r>
  <r>
    <n v="61"/>
    <s v="Bought a phone here that stopped working within a week, very disappointing."/>
    <x v="1"/>
    <x v="0"/>
    <x v="1"/>
    <n v="0.40149998664855963"/>
    <s v="● staff - apologetic : Neutral_x000a_"/>
  </r>
  <r>
    <n v="44"/>
    <s v="Got a great deal on my new phone and an awesome case as well!"/>
    <x v="13"/>
    <x v="1"/>
    <x v="1"/>
    <n v="0.40149998664855963"/>
    <s v="● staff - appreciate, be : Positive_x000a_"/>
  </r>
  <r>
    <n v="10"/>
    <s v="Upgrading my phone was a breeze thanks to their professional service."/>
    <x v="4"/>
    <x v="1"/>
    <x v="1"/>
    <n v="0.40149998664855963"/>
    <s v="● variety - impressive : Positive_x000a_"/>
  </r>
  <r>
    <n v="73"/>
    <s v="The phone I purchased here was overpriced compared to other stores."/>
    <x v="5"/>
    <x v="1"/>
    <x v="1"/>
    <n v="0.40149998664855963"/>
    <s v="● staff - wait : Positive_x000a_"/>
  </r>
  <r>
    <n v="34"/>
    <s v="Always come here for upgrades, they never disappoint!"/>
    <x v="8"/>
    <x v="1"/>
    <x v="1"/>
    <n v="0.40149998664855963"/>
    <s v="● store - quick : Positive_x000a_"/>
  </r>
  <r>
    <n v="32"/>
    <s v="The phone I bought here is working perfectly, couldn’t be happier."/>
    <x v="8"/>
    <x v="1"/>
    <x v="1"/>
    <n v="0.40149998664855963"/>
    <s v="● store - excellent : Positive_x000a_"/>
  </r>
  <r>
    <n v="97"/>
    <s v="Bought a refurbished phone that had several issues they didn’t disclose."/>
    <x v="6"/>
    <x v="0"/>
    <x v="1"/>
    <n v="0.40149998664855963"/>
    <s v="● staff - feel : Neutral_x000a_"/>
  </r>
  <r>
    <n v="99"/>
    <s v="I’m extremely disappointed, will not be coming back here again."/>
    <x v="6"/>
    <x v="0"/>
    <x v="1"/>
    <n v="0.40149998664855963"/>
    <s v="● technician - damage : Neutral_x000a_● technician - damage : Neutral_x000a_"/>
  </r>
  <r>
    <n v="3"/>
    <s v="Their selection of phones is amazing, and the prices are very competitive!"/>
    <x v="4"/>
    <x v="0"/>
    <x v="2"/>
    <n v="0.74550002813339233"/>
    <s v="● price - competitive : Neutral_x000a_"/>
  </r>
  <r>
    <n v="62"/>
    <s v="Their prices are too high, and the selection is limited."/>
    <x v="15"/>
    <x v="2"/>
    <x v="2"/>
    <n v="0.7444000244140625"/>
    <s v="● selection - limited : Negative_x000a_"/>
  </r>
  <r>
    <n v="7"/>
    <s v="The technician fixed my phone’s issue faster than I expected. Highly recommend!"/>
    <x v="4"/>
    <x v="1"/>
    <x v="2"/>
    <n v="0.73589998483657837"/>
    <s v="● phones issue - fix : Positive_x000a_"/>
  </r>
  <r>
    <n v="76"/>
    <s v="The repair was done poorly, and my phone broke again within a week."/>
    <x v="5"/>
    <x v="0"/>
    <x v="2"/>
    <n v="0.73350000381469727"/>
    <s v="● phone - break : Neutral_x000a_● phone - break : Neutral_x000a_"/>
  </r>
  <r>
    <n v="46"/>
    <s v="I had a great experience with their trade-in program."/>
    <x v="13"/>
    <x v="1"/>
    <x v="2"/>
    <n v="0.72380000352859497"/>
    <s v="● staff - have : Positive_x000a_"/>
  </r>
  <r>
    <n v="98"/>
    <s v="The technician damaged my phone during the repair, and they didn’t take responsibility."/>
    <x v="6"/>
    <x v="0"/>
    <x v="2"/>
    <n v="0.72359997034072876"/>
    <s v="● technician - damage : Neutral_x000a_● technician - damage : Neutral_x000a_"/>
  </r>
  <r>
    <n v="89"/>
    <s v="I had to call multiple times just to get a response, very unprofessional."/>
    <x v="16"/>
    <x v="0"/>
    <x v="2"/>
    <n v="0.72200000286102295"/>
    <s v="● staff - have, call : Neutral_x000a_"/>
  </r>
  <r>
    <n v="95"/>
    <s v="Terrible follow-up, they lost my repair order, and I had to start over."/>
    <x v="6"/>
    <x v="0"/>
    <x v="2"/>
    <n v="0.7215999960899353"/>
    <s v="● store - lose : Neutral_x000a_"/>
  </r>
  <r>
    <n v="78"/>
    <s v="They didn’t even check if my phone was working after the repair."/>
    <x v="5"/>
    <x v="0"/>
    <x v="2"/>
    <n v="0.71789997816085815"/>
    <s v="● phone - work : Neutral_x000a_"/>
  </r>
  <r>
    <n v="16"/>
    <s v="I love this store! Always a smooth experience buying or fixing my phone."/>
    <x v="10"/>
    <x v="0"/>
    <x v="2"/>
    <n v="0.71729999780654907"/>
    <s v="● fixing - experience : Neutral_x000a_"/>
  </r>
  <r>
    <n v="79"/>
    <s v="Terrible experience, my phone still has the same issue after getting it 'fixed'."/>
    <x v="2"/>
    <x v="0"/>
    <x v="2"/>
    <n v="0.71689999103546143"/>
    <s v="● phone - have : Neutral_x000a_"/>
  </r>
  <r>
    <n v="24"/>
    <s v="My phone was fixed in less than 30 minutes, such fast service!"/>
    <x v="11"/>
    <x v="1"/>
    <x v="2"/>
    <n v="0.71249997615814209"/>
    <s v="● phone - fix : Positive_x000a_"/>
  </r>
  <r>
    <n v="28"/>
    <s v="I found exactly what I needed, and they helped me get a great deal."/>
    <x v="8"/>
    <x v="1"/>
    <x v="2"/>
    <n v="0.7093999981880188"/>
    <s v="● store - help, get : Positive_x000a_"/>
  </r>
  <r>
    <n v="39"/>
    <s v="I always recommend this store to friends and family, they never fail to impress."/>
    <x v="7"/>
    <x v="1"/>
    <x v="2"/>
    <n v="0.70249998569488525"/>
    <s v="● store - fail, recommend : Positive_x000a_● store - fail, recommend : Positive_x000a_● store - fail, recommend : Positive_x000a_"/>
  </r>
  <r>
    <n v="90"/>
    <s v="They didn’t explain anything clearly and rushed me through the purchase."/>
    <x v="16"/>
    <x v="1"/>
    <x v="2"/>
    <n v="0.69529998302459717"/>
    <s v="● store - explain : Neutral_x000a_● store - rush : Neutral_x000a_● store - rush : Neutral_x000a_● store - explain : Positive_x000a_"/>
  </r>
  <r>
    <n v="22"/>
    <s v="The process was super simple, and I’m thrilled with my new phone."/>
    <x v="11"/>
    <x v="0"/>
    <x v="2"/>
    <n v="0.69270002841949463"/>
    <s v="● process - simple : Neutral_x000a_"/>
  </r>
  <r>
    <n v="41"/>
    <s v="Amazing place to buy the latest phones at great prices!"/>
    <x v="7"/>
    <x v="1"/>
    <x v="2"/>
    <n v="0.69160002470016479"/>
    <s v="● place - amazing : Positive_x000a_"/>
  </r>
  <r>
    <n v="87"/>
    <s v="The repair job was incomplete, and they refused to refund me."/>
    <x v="16"/>
    <x v="0"/>
    <x v="2"/>
    <n v="0.69150000810623169"/>
    <s v="● job - incomplete : Neutral_x000a_"/>
  </r>
  <r>
    <n v="91"/>
    <s v="I regret buying from here, their post-purchase support is non-existent."/>
    <x v="16"/>
    <x v="0"/>
    <x v="2"/>
    <n v="0.69150000810623169"/>
    <s v="● support - non : Neutral_x000a_"/>
  </r>
  <r>
    <n v="85"/>
    <s v="My phone broke down just after the warranty expired, very frustrating."/>
    <x v="2"/>
    <x v="0"/>
    <x v="2"/>
    <n v="0.68769997358322144"/>
    <s v="● phone - break : Neutral_x000a_"/>
  </r>
  <r>
    <n v="88"/>
    <s v="Their customer service representatives were extremely rude on the phone."/>
    <x v="16"/>
    <x v="2"/>
    <x v="2"/>
    <n v="0.68690001964569092"/>
    <s v="● representative - rude : Negative_x000a_"/>
  </r>
  <r>
    <n v="83"/>
    <s v="They didn’t apply the discount I was promised."/>
    <x v="2"/>
    <x v="0"/>
    <x v="2"/>
    <n v="0.68349999189376831"/>
    <s v="● store - apply : Neutral_x000a_"/>
  </r>
  <r>
    <n v="49"/>
    <s v="My phone has been working flawlessly since I bought it from here."/>
    <x v="9"/>
    <x v="1"/>
    <x v="2"/>
    <n v="0.68040001392364502"/>
    <s v="● phone - work : Positive_x000a_"/>
  </r>
  <r>
    <n v="64"/>
    <s v="I had a terrible experience, the phone they sold me was defective."/>
    <x v="15"/>
    <x v="0"/>
    <x v="2"/>
    <n v="0.67309999465942383"/>
    <s v="● phone - defective : Neutral_x000a_"/>
  </r>
  <r>
    <n v="94"/>
    <s v="They didn’t even have the phone I wanted in stock after promising me it was available."/>
    <x v="3"/>
    <x v="1"/>
    <x v="2"/>
    <n v="0.67299997806549072"/>
    <s v="● store - have : Positive_x000a_● store - have : Neutral_x000a_"/>
  </r>
  <r>
    <n v="50"/>
    <s v="They fixed my screen perfectly and even gave me a discount on the repair."/>
    <x v="9"/>
    <x v="1"/>
    <x v="2"/>
    <n v="0.67290002107620239"/>
    <s v="● store - give : Neutral_x000a_● store - fix : Positive_x000a_● store - fix : Positive_x000a_"/>
  </r>
  <r>
    <n v="53"/>
    <s v="Great phone selection and even better customer service."/>
    <x v="14"/>
    <x v="0"/>
    <x v="2"/>
    <n v="0.62309998273849487"/>
    <s v="● service - great : Positive_x000a_● service - phone : Neutral_x000a_"/>
  </r>
  <r>
    <n v="1"/>
    <s v="The staff were incredibly helpful and patient, helping me find the perfect phone!"/>
    <x v="4"/>
    <x v="0"/>
    <x v="2"/>
    <n v="0.61500000953674316"/>
    <s v="● staff - helpful : Neutral_x000a_● staff - patient : Neutral_x000a_"/>
  </r>
  <r>
    <n v="66"/>
    <s v="They charged me extra for services I didn’t need, felt like a scam."/>
    <x v="15"/>
    <x v="0"/>
    <x v="2"/>
    <n v="0.61169999837875366"/>
    <s v="● store - charge : Neutral_x000a_● store - feel : Neutral_x000a_● store - charge : Neutral_x000a_"/>
  </r>
  <r>
    <n v="2"/>
    <s v="I had a great experience purchasing my phone here, the process was smooth and quick."/>
    <x v="4"/>
    <x v="1"/>
    <x v="2"/>
    <n v="0.61030000448226929"/>
    <s v="● process - quick : Positive_x000a_● process - smooth : Positive_x000a_"/>
  </r>
  <r>
    <n v="11"/>
    <s v="Staff was knowledgeable and made sure I knew everything about my new phone."/>
    <x v="4"/>
    <x v="0"/>
    <x v="2"/>
    <n v="0.60110002756118774"/>
    <s v="● staff - knowledgeable : Neutral_x000a_"/>
  </r>
  <r>
    <n v="13"/>
    <s v="Very happy with my purchase, the staff really went the extra mile."/>
    <x v="4"/>
    <x v="1"/>
    <x v="2"/>
    <n v="0.60100001096725464"/>
    <s v="● staff - go : Positive_x000a_"/>
  </r>
  <r>
    <n v="17"/>
    <s v="I got a really good trade-in deal on my old phone."/>
    <x v="10"/>
    <x v="1"/>
    <x v="2"/>
    <n v="0.59960001707077026"/>
    <s v="● staff - get : Positive_x000a_"/>
  </r>
  <r>
    <n v="19"/>
    <s v="The staff was extremely helpful in setting up my phone and transferring all my data."/>
    <x v="10"/>
    <x v="0"/>
    <x v="2"/>
    <n v="0.4796999990940094"/>
    <s v="● staff - helpful : Neutral_x000a_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50DC6-C549-4DEF-B7BF-6CA3B027230A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>
  <location ref="J36:S69" firstHeaderRow="1" firstDataRow="3" firstDataCol="1"/>
  <pivotFields count="4">
    <pivotField axis="axisRow" allDrilled="1" subtotalTop="0" showAll="0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2">
    <field x="1"/>
    <field x="3"/>
  </colFields>
  <colItems count="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</colItems>
  <dataFields count="1">
    <dataField name="Distinct Count of id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7">
    <format dxfId="38">
      <pivotArea outline="0" collapsedLevelsAreSubtotals="1" fieldPosition="0">
        <references count="2">
          <reference field="1" count="1" selected="0">
            <x v="2"/>
          </reference>
          <reference field="3" count="1" selected="0">
            <x v="2"/>
          </reference>
        </references>
      </pivotArea>
    </format>
    <format dxfId="37">
      <pivotArea outline="0" collapsedLevelsAreSubtotals="1" fieldPosition="0">
        <references count="2">
          <reference field="1" count="1" selected="0">
            <x v="2"/>
          </reference>
          <reference field="3" count="1" selected="0">
            <x v="0"/>
          </reference>
        </references>
      </pivotArea>
    </format>
    <format dxfId="36">
      <pivotArea outline="0" collapsedLevelsAreSubtotals="1" fieldPosition="0">
        <references count="2">
          <reference field="1" count="1" selected="0">
            <x v="2"/>
          </reference>
          <reference field="3" count="1" selected="0">
            <x v="2"/>
          </reference>
        </references>
      </pivotArea>
    </format>
    <format dxfId="35">
      <pivotArea outline="0" collapsedLevelsAreSubtotals="1" fieldPosition="0">
        <references count="2">
          <reference field="1" count="1" selected="0">
            <x v="2"/>
          </reference>
          <reference field="3" count="1" selected="0">
            <x v="0"/>
          </reference>
        </references>
      </pivotArea>
    </format>
    <format dxfId="34">
      <pivotArea dataOnly="0" labelOnly="1" fieldPosition="0">
        <references count="2">
          <reference field="1" count="1" selected="0">
            <x v="2"/>
          </reference>
          <reference field="3" count="1">
            <x v="2"/>
          </reference>
        </references>
      </pivotArea>
    </format>
    <format dxfId="33">
      <pivotArea dataOnly="0" labelOnly="1" fieldPosition="0">
        <references count="2">
          <reference field="1" count="1" selected="0">
            <x v="2"/>
          </reference>
          <reference field="3" count="1">
            <x v="0"/>
          </reference>
        </references>
      </pivotArea>
    </format>
    <format dxfId="32">
      <pivotArea type="all" dataOnly="0" outline="0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2">
    <colHierarchyUsage hierarchyUsage="6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-sentiment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ED6D6-083F-495B-B321-2C5FA235A1C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7:W27" firstHeaderRow="1" firstDataRow="3" firstDataCol="1"/>
  <pivotFields count="7">
    <pivotField dataField="1" showAll="0"/>
    <pivotField showAll="0"/>
    <pivotField axis="axisRow" numFmtId="164" showAll="0">
      <items count="18">
        <item x="4"/>
        <item x="10"/>
        <item x="11"/>
        <item x="8"/>
        <item x="12"/>
        <item x="7"/>
        <item x="13"/>
        <item x="9"/>
        <item x="14"/>
        <item x="1"/>
        <item x="15"/>
        <item x="0"/>
        <item x="5"/>
        <item x="2"/>
        <item x="16"/>
        <item x="3"/>
        <item x="6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3"/>
    <field x="4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Count of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CEC1A6-79C9-4D3B-BA98-397A05FBD21D}" name="Table39" displayName="Table39" ref="B3:E34" totalsRowShown="0" headerRowDxfId="46" dataDxfId="44" headerRowBorderDxfId="45" tableBorderDxfId="43">
  <autoFilter ref="B3:E34" xr:uid="{29CEC1A6-79C9-4D3B-BA98-397A05FBD21D}">
    <filterColumn colId="0">
      <filters>
        <filter val="staff"/>
      </filters>
    </filterColumn>
  </autoFilter>
  <tableColumns count="4">
    <tableColumn id="1" xr3:uid="{475677DE-66D2-478C-87A1-5EA2AC317A0B}" name="aspect" dataDxfId="42"/>
    <tableColumn id="2" xr3:uid="{8A513FDE-45F6-414A-8DCC-3978B7068CCC}" name="strength" dataDxfId="41"/>
    <tableColumn id="3" xr3:uid="{61591CC2-DE59-4371-A565-393D8E1212F8}" name="weakness" dataDxfId="40"/>
    <tableColumn id="4" xr3:uid="{DF80E837-EC0B-4B5D-BC80-C959AE65DF6C}" name="fine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F61DF0-4FC8-4945-B2DF-44D41331B43A}" name="TableAspect" displayName="TableAspect" ref="V38:AA69" totalsRowShown="0" headerRowDxfId="31">
  <autoFilter ref="V38:AA69" xr:uid="{1BF61DF0-4FC8-4945-B2DF-44D41331B43A}"/>
  <tableColumns count="6">
    <tableColumn id="1" xr3:uid="{CD9D7AF1-52D9-4952-8EDD-1739898579FE}" name="Aspect">
      <calculatedColumnFormula>J39</calculatedColumnFormula>
    </tableColumn>
    <tableColumn id="2" xr3:uid="{566C0473-D933-45F9-AA9F-D12BCCE3CD8D}" name="Positive">
      <calculatedColumnFormula>INDEX($K$39:$S$69,ROWS($J$39:J39),MATCH($D$4,$K$37:$S$37,0)+2)</calculatedColumnFormula>
    </tableColumn>
    <tableColumn id="3" xr3:uid="{D1A22F11-D257-42D9-BA1C-CD18E89AABD4}" name="Negative">
      <calculatedColumnFormula>INDEX($K$39:$S$69,ROWS($J$39:J39),MATCH($D$4,$K$37:$S$37,0))</calculatedColumnFormula>
    </tableColumn>
    <tableColumn id="4" xr3:uid="{F5C1A5C2-C4D6-4491-B883-5903EE1C845B}" name="Neutral">
      <calculatedColumnFormula>INDEX($K$39:$S$69,ROWS($J$39:J39),MATCH($D$4,$K$37:$S$37,0)+1)</calculatedColumnFormula>
    </tableColumn>
    <tableColumn id="5" xr3:uid="{1DCA97FD-643D-4CDE-8607-542260F93438}" name="Total">
      <calculatedColumnFormula>SUM(W39:Y39)</calculatedColumnFormula>
    </tableColumn>
    <tableColumn id="6" xr3:uid="{648A86A5-CEC3-4FF2-B540-2E6FAADE6873}" name="UNIQUE" dataDxfId="30">
      <calculatedColumnFormula>TableAspect[[#This Row],[Total]]+(COUNTIFS($Z$39:Z39,Z39) - 1) * 0.000000001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13DA54-0141-4FAF-8DCC-E06034A18A61}" name="TableAspectSorted" displayName="TableAspectSorted" ref="AC38:AH69" totalsRowShown="0">
  <autoFilter ref="AC38:AH69" xr:uid="{E413DA54-0141-4FAF-8DCC-E06034A18A61}"/>
  <tableColumns count="6">
    <tableColumn id="1" xr3:uid="{85C64E8F-BDE4-48EA-B124-54AD82132A61}" name="UNIQUE">
      <calculatedColumnFormula>LARGE(TableAspect[UNIQUE],ROW()-ROW($AC$38))</calculatedColumnFormula>
    </tableColumn>
    <tableColumn id="2" xr3:uid="{88244DCA-4D10-4E08-8E7C-EFAD2D004E77}" name="Aspect">
      <calculatedColumnFormula>INDEX(TableAspect[Aspect],MATCH(AC39,TableAspect[UNIQUE],0))</calculatedColumnFormula>
    </tableColumn>
    <tableColumn id="3" xr3:uid="{908423C9-9CED-4684-A46F-5D9DA299BA66}" name="Positive">
      <calculatedColumnFormula>INDEX(TableAspect[Positive],MATCH(AC39,TableAspect[UNIQUE],0))</calculatedColumnFormula>
    </tableColumn>
    <tableColumn id="4" xr3:uid="{981D73C3-9589-4B39-BCD9-8A6FC59B09A8}" name="Negative">
      <calculatedColumnFormula>INDEX(TableAspect[Negative],MATCH(AC39,TableAspect[UNIQUE],0))</calculatedColumnFormula>
    </tableColumn>
    <tableColumn id="5" xr3:uid="{13AC0222-9E8B-4BAD-B3F5-9F62C1CDF5A2}" name="Neutral">
      <calculatedColumnFormula>INDEX(TableAspect[Neutral],MATCH(AC39,TableAspect[UNIQUE],0))</calculatedColumnFormula>
    </tableColumn>
    <tableColumn id="6" xr3:uid="{81B293A0-D25A-472F-AF73-9E3CEB49EC25}" name="Total">
      <calculatedColumnFormula>INDEX(TableAspect[Total],MATCH(AC39,TableAspect[UNIQUE],0))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183B1-6F24-43AA-8575-BA4C9A04691B}" name="Table1" displayName="Table1" ref="A1:G100" totalsRowShown="0" headerRowDxfId="29" dataDxfId="27" headerRowBorderDxfId="28" tableBorderDxfId="26">
  <autoFilter ref="A1:G100" xr:uid="{A8E183B1-6F24-43AA-8575-BA4C9A04691B}"/>
  <tableColumns count="7">
    <tableColumn id="1" xr3:uid="{FC0A2AC1-FD69-4FEF-9DE9-E045BD665863}" name="id" dataDxfId="25"/>
    <tableColumn id="2" xr3:uid="{E8F3F1BB-D696-40B6-9D49-EBDD4BE9D5ED}" name="review" dataDxfId="24"/>
    <tableColumn id="3" xr3:uid="{236ED4A8-4553-4288-ABEF-64302589A758}" name="date" dataDxfId="23"/>
    <tableColumn id="4" xr3:uid="{364030A2-9D16-4C51-B146-9C2C5B5AEFE1}" name="sentiment" dataDxfId="22"/>
    <tableColumn id="5" xr3:uid="{E0590862-605C-4C3F-A1DE-267EADD6834D}" name="topic_dominant" dataDxfId="21"/>
    <tableColumn id="6" xr3:uid="{F374D766-BE19-4C30-829F-99AFE616D83F}" name="topic_contribution" dataDxfId="20"/>
    <tableColumn id="7" xr3:uid="{2406A8CA-D391-4907-8378-6933A216D9CB}" name="aspect_based_sentiment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2D24F2-5E8B-482E-9B39-CD39F47EA933}" name="Table2" displayName="Table2" ref="I1:O156" totalsRowShown="0" headerRowDxfId="18" dataDxfId="16" headerRowBorderDxfId="17" tableBorderDxfId="15">
  <autoFilter ref="I1:O156" xr:uid="{A92D24F2-5E8B-482E-9B39-CD39F47EA933}"/>
  <tableColumns count="7">
    <tableColumn id="1" xr3:uid="{5AE2BD96-ADD2-4407-BB8C-122DADB45986}" name="id" dataDxfId="14"/>
    <tableColumn id="2" xr3:uid="{31416641-CBE1-4A70-BD35-04E3E03F0AE4}" name="aspect" dataDxfId="13"/>
    <tableColumn id="3" xr3:uid="{14469FBC-9E1F-4A4E-BAE5-F4268C73AA2A}" name="type_property" dataDxfId="12"/>
    <tableColumn id="4" xr3:uid="{B13F14F4-6176-4F83-A558-4B7816A4842B}" name="keyword" dataDxfId="11"/>
    <tableColumn id="5" xr3:uid="{D46BA5AE-A1AA-432E-B332-E2AF4354E80C}" name="part_sentence" dataDxfId="10"/>
    <tableColumn id="6" xr3:uid="{ED5CA03A-D98C-48DA-8923-75AD90D3A5A9}" name="sentiment" dataDxfId="9"/>
    <tableColumn id="7" xr3:uid="{A6EB7E2A-6305-4EB1-9575-9CE1CEE2357D}" name="topic_dominant" dataDxfId="8">
      <calculatedColumnFormula>INDEX(Table1[topic_dominant],MATCH(Table2[[#This Row],[id]],Table1[id],0))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356C41-2A05-4E91-8CE3-1F3792FD4189}" name="Table3" displayName="Table3" ref="Q1:T32" totalsRowShown="0" headerRowDxfId="7" dataDxfId="5" headerRowBorderDxfId="6" tableBorderDxfId="4">
  <autoFilter ref="Q1:T32" xr:uid="{BE356C41-2A05-4E91-8CE3-1F3792FD4189}"/>
  <tableColumns count="4">
    <tableColumn id="1" xr3:uid="{651FF647-357C-447F-BE3C-767B38D8CE79}" name="aspect" dataDxfId="3"/>
    <tableColumn id="2" xr3:uid="{C17ECDCF-B29B-44C4-8BF9-7A580AAE8990}" name="strength" dataDxfId="2"/>
    <tableColumn id="3" xr3:uid="{06E0BC63-1454-4409-A09E-B56B471EA373}" name="weakness" dataDxfId="1"/>
    <tableColumn id="4" xr3:uid="{2637CC09-B039-45E5-BBD0-C2123E2064C5}" name="fi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45CF-FE13-4EF5-8D3E-1E28DA56F218}">
  <dimension ref="C3:D6"/>
  <sheetViews>
    <sheetView showGridLines="0" tabSelected="1" topLeftCell="E6" zoomScale="105" workbookViewId="0">
      <selection activeCell="F33" sqref="F33"/>
    </sheetView>
  </sheetViews>
  <sheetFormatPr defaultRowHeight="14.4" x14ac:dyDescent="0.3"/>
  <cols>
    <col min="1" max="1" width="2.88671875" customWidth="1"/>
    <col min="2" max="2" width="7.21875" customWidth="1"/>
    <col min="3" max="3" width="11.5546875" customWidth="1"/>
    <col min="4" max="4" width="18.77734375" customWidth="1"/>
    <col min="5" max="5" width="44.21875" customWidth="1"/>
    <col min="6" max="6" width="29.88671875" customWidth="1"/>
  </cols>
  <sheetData>
    <row r="3" spans="3:4" x14ac:dyDescent="0.3">
      <c r="C3" s="18" t="s">
        <v>472</v>
      </c>
      <c r="D3" s="19">
        <v>2024</v>
      </c>
    </row>
    <row r="4" spans="3:4" x14ac:dyDescent="0.3">
      <c r="C4" s="32" t="s">
        <v>440</v>
      </c>
      <c r="D4" s="21">
        <v>11</v>
      </c>
    </row>
    <row r="5" spans="3:4" x14ac:dyDescent="0.3">
      <c r="C5" s="32" t="s">
        <v>473</v>
      </c>
      <c r="D5" s="21">
        <v>17</v>
      </c>
    </row>
    <row r="6" spans="3:4" x14ac:dyDescent="0.3">
      <c r="C6" s="33" t="s">
        <v>434</v>
      </c>
      <c r="D6" s="34">
        <f>DATE(D3,D4,D5)</f>
        <v>45613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22" r:id="rId3" name="Drop Down 54">
              <controlPr defaultSize="0" autoLine="0" autoPict="0">
                <anchor moveWithCells="1">
                  <from>
                    <xdr:col>4</xdr:col>
                    <xdr:colOff>487680</xdr:colOff>
                    <xdr:row>4</xdr:row>
                    <xdr:rowOff>53340</xdr:rowOff>
                  </from>
                  <to>
                    <xdr:col>4</xdr:col>
                    <xdr:colOff>1333500</xdr:colOff>
                    <xdr:row>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4" name="Scroll Bar 4">
              <controlPr defaultSize="0" autoPict="0">
                <anchor moveWithCells="1">
                  <from>
                    <xdr:col>4</xdr:col>
                    <xdr:colOff>883920</xdr:colOff>
                    <xdr:row>11</xdr:row>
                    <xdr:rowOff>38100</xdr:rowOff>
                  </from>
                  <to>
                    <xdr:col>4</xdr:col>
                    <xdr:colOff>1043940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" r:id="rId5" name="Scroll Bar 1">
              <controlPr defaultSize="0" autoPict="0">
                <anchor moveWithCells="1">
                  <from>
                    <xdr:col>1</xdr:col>
                    <xdr:colOff>205740</xdr:colOff>
                    <xdr:row>9</xdr:row>
                    <xdr:rowOff>167640</xdr:rowOff>
                  </from>
                  <to>
                    <xdr:col>1</xdr:col>
                    <xdr:colOff>350520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875B-D3CF-4BCD-9713-A640D4180E3F}">
  <dimension ref="B3:E34"/>
  <sheetViews>
    <sheetView zoomScale="62" workbookViewId="0">
      <selection activeCell="B58" sqref="B58"/>
    </sheetView>
  </sheetViews>
  <sheetFormatPr defaultRowHeight="14.4" x14ac:dyDescent="0.3"/>
  <cols>
    <col min="1" max="1" width="20.6640625" customWidth="1"/>
    <col min="2" max="2" width="31" customWidth="1"/>
    <col min="3" max="3" width="33.77734375" customWidth="1"/>
    <col min="4" max="4" width="36" bestFit="1" customWidth="1"/>
    <col min="5" max="5" width="66.88671875" customWidth="1"/>
  </cols>
  <sheetData>
    <row r="3" spans="2:5" x14ac:dyDescent="0.3">
      <c r="B3" s="27" t="s">
        <v>2</v>
      </c>
      <c r="C3" s="27" t="s">
        <v>428</v>
      </c>
      <c r="D3" s="27" t="s">
        <v>429</v>
      </c>
      <c r="E3" s="27" t="s">
        <v>430</v>
      </c>
    </row>
    <row r="4" spans="2:5" ht="273.60000000000002" x14ac:dyDescent="0.3">
      <c r="B4" s="2" t="s">
        <v>112</v>
      </c>
      <c r="C4" s="2" t="s">
        <v>382</v>
      </c>
      <c r="D4" s="2" t="s">
        <v>383</v>
      </c>
      <c r="E4" s="2" t="s">
        <v>384</v>
      </c>
    </row>
    <row r="5" spans="2:5" ht="43.2" hidden="1" x14ac:dyDescent="0.3">
      <c r="B5" s="2" t="s">
        <v>118</v>
      </c>
      <c r="C5" s="2" t="s">
        <v>385</v>
      </c>
      <c r="D5" s="2"/>
      <c r="E5" s="2" t="s">
        <v>386</v>
      </c>
    </row>
    <row r="6" spans="2:5" ht="43.2" hidden="1" x14ac:dyDescent="0.3">
      <c r="B6" s="2" t="s">
        <v>123</v>
      </c>
      <c r="C6" s="2" t="s">
        <v>387</v>
      </c>
      <c r="D6" s="2" t="s">
        <v>388</v>
      </c>
      <c r="E6" s="2" t="s">
        <v>389</v>
      </c>
    </row>
    <row r="7" spans="2:5" ht="43.2" hidden="1" x14ac:dyDescent="0.3">
      <c r="B7" s="2" t="s">
        <v>126</v>
      </c>
      <c r="C7" s="2" t="s">
        <v>390</v>
      </c>
      <c r="D7" s="2"/>
      <c r="E7" s="2" t="s">
        <v>391</v>
      </c>
    </row>
    <row r="8" spans="2:5" ht="28.8" hidden="1" x14ac:dyDescent="0.3">
      <c r="B8" s="2" t="s">
        <v>133</v>
      </c>
      <c r="C8" s="2"/>
      <c r="D8" s="2"/>
      <c r="E8" s="2" t="s">
        <v>392</v>
      </c>
    </row>
    <row r="9" spans="2:5" ht="43.2" hidden="1" x14ac:dyDescent="0.3">
      <c r="B9" s="2" t="s">
        <v>144</v>
      </c>
      <c r="C9" s="2" t="s">
        <v>393</v>
      </c>
      <c r="D9" s="2"/>
      <c r="E9" s="2"/>
    </row>
    <row r="10" spans="2:5" ht="57.6" hidden="1" x14ac:dyDescent="0.3">
      <c r="B10" s="2" t="s">
        <v>140</v>
      </c>
      <c r="C10" s="2" t="s">
        <v>394</v>
      </c>
      <c r="D10" s="2"/>
      <c r="E10" s="2" t="s">
        <v>395</v>
      </c>
    </row>
    <row r="11" spans="2:5" ht="43.2" hidden="1" x14ac:dyDescent="0.3">
      <c r="B11" s="2" t="s">
        <v>145</v>
      </c>
      <c r="C11" s="2" t="s">
        <v>396</v>
      </c>
      <c r="D11" s="2"/>
      <c r="E11" s="2"/>
    </row>
    <row r="12" spans="2:5" ht="43.2" hidden="1" x14ac:dyDescent="0.3">
      <c r="B12" s="2" t="s">
        <v>148</v>
      </c>
      <c r="C12" s="2" t="s">
        <v>397</v>
      </c>
      <c r="D12" s="2"/>
      <c r="E12" s="2" t="s">
        <v>398</v>
      </c>
    </row>
    <row r="13" spans="2:5" ht="86.4" hidden="1" x14ac:dyDescent="0.3">
      <c r="B13" s="2" t="s">
        <v>157</v>
      </c>
      <c r="C13" s="2" t="s">
        <v>399</v>
      </c>
      <c r="D13" s="2" t="s">
        <v>400</v>
      </c>
      <c r="E13" s="2" t="s">
        <v>401</v>
      </c>
    </row>
    <row r="14" spans="2:5" ht="28.8" hidden="1" x14ac:dyDescent="0.3">
      <c r="B14" s="2" t="s">
        <v>160</v>
      </c>
      <c r="C14" s="2" t="s">
        <v>402</v>
      </c>
      <c r="D14" s="2"/>
      <c r="E14" s="2"/>
    </row>
    <row r="15" spans="2:5" ht="28.8" hidden="1" x14ac:dyDescent="0.3">
      <c r="B15" s="2" t="s">
        <v>164</v>
      </c>
      <c r="C15" s="2"/>
      <c r="D15" s="2"/>
      <c r="E15" s="2" t="s">
        <v>403</v>
      </c>
    </row>
    <row r="16" spans="2:5" ht="28.8" hidden="1" x14ac:dyDescent="0.3">
      <c r="B16" s="2" t="s">
        <v>167</v>
      </c>
      <c r="C16" s="2"/>
      <c r="D16" s="2"/>
      <c r="E16" s="2" t="s">
        <v>404</v>
      </c>
    </row>
    <row r="17" spans="2:5" ht="129.6" hidden="1" x14ac:dyDescent="0.3">
      <c r="B17" s="2" t="s">
        <v>174</v>
      </c>
      <c r="C17" s="2" t="s">
        <v>405</v>
      </c>
      <c r="D17" s="2"/>
      <c r="E17" s="2" t="s">
        <v>406</v>
      </c>
    </row>
    <row r="18" spans="2:5" ht="409.6" hidden="1" x14ac:dyDescent="0.3">
      <c r="B18" s="2" t="s">
        <v>182</v>
      </c>
      <c r="C18" s="2" t="s">
        <v>407</v>
      </c>
      <c r="D18" s="2" t="s">
        <v>408</v>
      </c>
      <c r="E18" s="2" t="s">
        <v>409</v>
      </c>
    </row>
    <row r="19" spans="2:5" ht="43.2" hidden="1" x14ac:dyDescent="0.3">
      <c r="B19" s="2" t="s">
        <v>197</v>
      </c>
      <c r="C19" s="2" t="s">
        <v>410</v>
      </c>
      <c r="D19" s="2"/>
      <c r="E19" s="2"/>
    </row>
    <row r="20" spans="2:5" ht="28.8" hidden="1" x14ac:dyDescent="0.3">
      <c r="B20" s="2" t="s">
        <v>205</v>
      </c>
      <c r="C20" s="2" t="s">
        <v>411</v>
      </c>
      <c r="D20" s="2"/>
      <c r="E20" s="2"/>
    </row>
    <row r="21" spans="2:5" ht="43.2" hidden="1" x14ac:dyDescent="0.3">
      <c r="B21" s="2" t="s">
        <v>214</v>
      </c>
      <c r="C21" s="2" t="s">
        <v>412</v>
      </c>
      <c r="D21" s="2" t="s">
        <v>413</v>
      </c>
      <c r="E21" s="2"/>
    </row>
    <row r="22" spans="2:5" ht="28.8" hidden="1" x14ac:dyDescent="0.3">
      <c r="B22" s="2" t="s">
        <v>221</v>
      </c>
      <c r="C22" s="2"/>
      <c r="D22" s="2"/>
      <c r="E22" s="2" t="s">
        <v>414</v>
      </c>
    </row>
    <row r="23" spans="2:5" ht="28.8" hidden="1" x14ac:dyDescent="0.3">
      <c r="B23" s="2" t="s">
        <v>224</v>
      </c>
      <c r="C23" s="2" t="s">
        <v>415</v>
      </c>
      <c r="D23" s="2"/>
      <c r="E23" s="2"/>
    </row>
    <row r="24" spans="2:5" ht="28.8" hidden="1" x14ac:dyDescent="0.3">
      <c r="B24" s="2" t="s">
        <v>226</v>
      </c>
      <c r="C24" s="2" t="s">
        <v>416</v>
      </c>
      <c r="D24" s="2"/>
      <c r="E24" s="2"/>
    </row>
    <row r="25" spans="2:5" ht="43.2" hidden="1" x14ac:dyDescent="0.3">
      <c r="B25" s="2" t="s">
        <v>305</v>
      </c>
      <c r="C25" s="2"/>
      <c r="D25" s="2"/>
      <c r="E25" s="2" t="s">
        <v>417</v>
      </c>
    </row>
    <row r="26" spans="2:5" ht="28.8" hidden="1" x14ac:dyDescent="0.3">
      <c r="B26" s="2" t="s">
        <v>306</v>
      </c>
      <c r="C26" s="2"/>
      <c r="D26" s="2" t="s">
        <v>418</v>
      </c>
      <c r="E26" s="2" t="s">
        <v>419</v>
      </c>
    </row>
    <row r="27" spans="2:5" ht="28.8" hidden="1" x14ac:dyDescent="0.3">
      <c r="B27" s="2" t="s">
        <v>317</v>
      </c>
      <c r="C27" s="2"/>
      <c r="D27" s="2" t="s">
        <v>420</v>
      </c>
      <c r="E27" s="2"/>
    </row>
    <row r="28" spans="2:5" ht="28.8" hidden="1" x14ac:dyDescent="0.3">
      <c r="B28" s="2" t="s">
        <v>326</v>
      </c>
      <c r="C28" s="2"/>
      <c r="D28" s="2"/>
      <c r="E28" s="2" t="s">
        <v>421</v>
      </c>
    </row>
    <row r="29" spans="2:5" ht="28.8" hidden="1" x14ac:dyDescent="0.3">
      <c r="B29" s="2" t="s">
        <v>333</v>
      </c>
      <c r="C29" s="2"/>
      <c r="D29" s="2" t="s">
        <v>422</v>
      </c>
      <c r="E29" s="2"/>
    </row>
    <row r="30" spans="2:5" ht="28.8" hidden="1" x14ac:dyDescent="0.3">
      <c r="B30" s="2" t="s">
        <v>347</v>
      </c>
      <c r="C30" s="2"/>
      <c r="D30" s="2"/>
      <c r="E30" s="2" t="s">
        <v>423</v>
      </c>
    </row>
    <row r="31" spans="2:5" ht="28.8" hidden="1" x14ac:dyDescent="0.3">
      <c r="B31" s="2" t="s">
        <v>350</v>
      </c>
      <c r="C31" s="2"/>
      <c r="D31" s="2" t="s">
        <v>424</v>
      </c>
      <c r="E31" s="2"/>
    </row>
    <row r="32" spans="2:5" ht="28.8" hidden="1" x14ac:dyDescent="0.3">
      <c r="B32" s="2" t="s">
        <v>360</v>
      </c>
      <c r="C32" s="2"/>
      <c r="D32" s="2"/>
      <c r="E32" s="2" t="s">
        <v>425</v>
      </c>
    </row>
    <row r="33" spans="2:5" ht="28.8" hidden="1" x14ac:dyDescent="0.3">
      <c r="B33" s="2" t="s">
        <v>363</v>
      </c>
      <c r="C33" s="2"/>
      <c r="D33" s="2"/>
      <c r="E33" s="2" t="s">
        <v>426</v>
      </c>
    </row>
    <row r="34" spans="2:5" ht="28.8" hidden="1" x14ac:dyDescent="0.3">
      <c r="B34" s="2" t="s">
        <v>373</v>
      </c>
      <c r="C34" s="2"/>
      <c r="D34" s="2" t="s">
        <v>427</v>
      </c>
      <c r="E34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FC66-42D5-47EA-827A-FC9146198CF7}">
  <dimension ref="B1:AV211"/>
  <sheetViews>
    <sheetView topLeftCell="G43" zoomScale="33" zoomScaleNormal="72" workbookViewId="0">
      <selection activeCell="J76" sqref="J76"/>
    </sheetView>
  </sheetViews>
  <sheetFormatPr defaultRowHeight="14.4" x14ac:dyDescent="0.3"/>
  <cols>
    <col min="1" max="1" width="9.88671875" customWidth="1"/>
    <col min="2" max="2" width="16.21875" customWidth="1"/>
    <col min="3" max="3" width="21.6640625" customWidth="1"/>
    <col min="4" max="4" width="7.6640625" bestFit="1" customWidth="1"/>
    <col min="5" max="5" width="13.21875" bestFit="1" customWidth="1"/>
    <col min="6" max="6" width="9.21875" bestFit="1" customWidth="1"/>
    <col min="7" max="7" width="14.6640625" customWidth="1"/>
    <col min="8" max="8" width="21.44140625" customWidth="1"/>
    <col min="9" max="9" width="11.88671875" bestFit="1" customWidth="1"/>
    <col min="10" max="10" width="17.44140625" style="7" customWidth="1"/>
    <col min="11" max="11" width="10.6640625" customWidth="1"/>
    <col min="12" max="12" width="8.5546875" customWidth="1"/>
    <col min="13" max="13" width="16.109375" customWidth="1"/>
    <col min="14" max="14" width="31.5546875" customWidth="1"/>
    <col min="15" max="15" width="30.5546875" customWidth="1"/>
    <col min="16" max="16" width="3.21875" bestFit="1" customWidth="1"/>
    <col min="17" max="17" width="4.109375" bestFit="1" customWidth="1"/>
    <col min="18" max="18" width="12.21875" bestFit="1" customWidth="1"/>
    <col min="19" max="19" width="9.6640625" bestFit="1" customWidth="1"/>
    <col min="20" max="21" width="3.21875" bestFit="1" customWidth="1"/>
    <col min="22" max="22" width="24.44140625" customWidth="1"/>
    <col min="23" max="23" width="24" customWidth="1"/>
    <col min="24" max="24" width="10.88671875" bestFit="1" customWidth="1"/>
    <col min="25" max="25" width="12.33203125" customWidth="1"/>
    <col min="26" max="26" width="8.77734375" bestFit="1" customWidth="1"/>
    <col min="27" max="27" width="12.44140625" bestFit="1" customWidth="1"/>
    <col min="28" max="28" width="7.77734375" bestFit="1" customWidth="1"/>
    <col min="29" max="29" width="12.44140625" bestFit="1" customWidth="1"/>
    <col min="30" max="30" width="16.21875" customWidth="1"/>
    <col min="31" max="31" width="7.88671875" bestFit="1" customWidth="1"/>
    <col min="32" max="32" width="11" bestFit="1" customWidth="1"/>
    <col min="33" max="33" width="9" bestFit="1" customWidth="1"/>
    <col min="34" max="34" width="16.109375" customWidth="1"/>
    <col min="35" max="35" width="9.5546875" customWidth="1"/>
    <col min="36" max="36" width="10.44140625" customWidth="1"/>
    <col min="37" max="37" width="9.44140625" customWidth="1"/>
    <col min="38" max="38" width="17.77734375" customWidth="1"/>
    <col min="39" max="39" width="13.44140625" bestFit="1" customWidth="1"/>
    <col min="41" max="41" width="10.21875" customWidth="1"/>
    <col min="42" max="42" width="13" customWidth="1"/>
    <col min="43" max="43" width="9.5546875" customWidth="1"/>
    <col min="44" max="44" width="10.44140625" customWidth="1"/>
    <col min="45" max="45" width="9.44140625" customWidth="1"/>
    <col min="46" max="46" width="9" bestFit="1" customWidth="1"/>
    <col min="48" max="48" width="17.6640625" customWidth="1"/>
    <col min="49" max="49" width="12.77734375" customWidth="1"/>
    <col min="50" max="50" width="15.21875" customWidth="1"/>
    <col min="51" max="51" width="14.109375" customWidth="1"/>
    <col min="52" max="52" width="15.33203125" customWidth="1"/>
  </cols>
  <sheetData>
    <row r="1" spans="2:48" x14ac:dyDescent="0.3">
      <c r="J1"/>
    </row>
    <row r="2" spans="2:48" x14ac:dyDescent="0.3">
      <c r="B2" s="3" t="s">
        <v>431</v>
      </c>
      <c r="C2" s="4"/>
      <c r="D2" s="4"/>
      <c r="E2" s="4"/>
      <c r="J2" s="3" t="s">
        <v>456</v>
      </c>
      <c r="K2" s="4"/>
      <c r="L2" s="4"/>
      <c r="M2" s="4"/>
      <c r="O2" s="2"/>
    </row>
    <row r="3" spans="2:48" x14ac:dyDescent="0.3">
      <c r="C3" t="s">
        <v>459</v>
      </c>
      <c r="D3">
        <v>20</v>
      </c>
      <c r="J3"/>
      <c r="O3" s="2"/>
    </row>
    <row r="4" spans="2:48" x14ac:dyDescent="0.3">
      <c r="C4" t="s">
        <v>445</v>
      </c>
      <c r="D4">
        <v>2</v>
      </c>
      <c r="J4"/>
    </row>
    <row r="5" spans="2:48" x14ac:dyDescent="0.3">
      <c r="C5" t="s">
        <v>462</v>
      </c>
      <c r="D5">
        <v>1</v>
      </c>
    </row>
    <row r="6" spans="2:48" x14ac:dyDescent="0.3">
      <c r="C6" t="s">
        <v>467</v>
      </c>
      <c r="D6">
        <v>1</v>
      </c>
      <c r="J6" s="1" t="s">
        <v>441</v>
      </c>
    </row>
    <row r="7" spans="2:48" x14ac:dyDescent="0.3">
      <c r="J7" s="9" t="s">
        <v>439</v>
      </c>
      <c r="K7" s="9" t="s">
        <v>438</v>
      </c>
    </row>
    <row r="8" spans="2:48" x14ac:dyDescent="0.3">
      <c r="J8"/>
      <c r="K8" t="s">
        <v>71</v>
      </c>
      <c r="N8" t="s">
        <v>442</v>
      </c>
      <c r="O8" t="s">
        <v>8</v>
      </c>
      <c r="R8" t="s">
        <v>443</v>
      </c>
      <c r="S8" t="s">
        <v>10</v>
      </c>
      <c r="V8" t="s">
        <v>444</v>
      </c>
      <c r="W8" t="s">
        <v>433</v>
      </c>
      <c r="Z8" t="s">
        <v>446</v>
      </c>
      <c r="AA8" t="str">
        <f>"Sentiment Topic "&amp;INDEX($C$13:$C$15,MATCH($D$4,$B$13:$B$15,0))</f>
        <v>Sentiment Topic B</v>
      </c>
      <c r="AF8" t="s">
        <v>446</v>
      </c>
      <c r="AG8" t="s">
        <v>451</v>
      </c>
      <c r="AK8" t="s">
        <v>446</v>
      </c>
      <c r="AL8" t="s">
        <v>452</v>
      </c>
      <c r="AP8" s="1"/>
      <c r="AQ8" s="1"/>
      <c r="AR8" s="1"/>
    </row>
    <row r="9" spans="2:48" x14ac:dyDescent="0.3">
      <c r="J9" s="9" t="s">
        <v>432</v>
      </c>
      <c r="K9">
        <v>1</v>
      </c>
      <c r="L9">
        <v>2</v>
      </c>
      <c r="M9">
        <v>3</v>
      </c>
      <c r="O9">
        <v>1</v>
      </c>
      <c r="P9">
        <v>2</v>
      </c>
      <c r="Q9">
        <v>3</v>
      </c>
      <c r="S9">
        <v>1</v>
      </c>
      <c r="T9">
        <v>2</v>
      </c>
      <c r="U9">
        <v>3</v>
      </c>
      <c r="Y9" s="1" t="s">
        <v>434</v>
      </c>
      <c r="Z9" s="12" t="s">
        <v>10</v>
      </c>
      <c r="AA9" s="12" t="s">
        <v>71</v>
      </c>
      <c r="AB9" s="12" t="s">
        <v>8</v>
      </c>
      <c r="AC9" s="12" t="s">
        <v>450</v>
      </c>
      <c r="AD9" s="1"/>
      <c r="AF9" s="12" t="s">
        <v>447</v>
      </c>
      <c r="AG9" s="12" t="s">
        <v>448</v>
      </c>
      <c r="AH9" s="12" t="s">
        <v>449</v>
      </c>
      <c r="AI9" s="12" t="s">
        <v>450</v>
      </c>
      <c r="AK9" s="12" t="s">
        <v>436</v>
      </c>
      <c r="AL9" s="12" t="s">
        <v>10</v>
      </c>
      <c r="AM9" s="12" t="s">
        <v>71</v>
      </c>
      <c r="AN9" s="12" t="s">
        <v>8</v>
      </c>
      <c r="AO9" s="12" t="s">
        <v>450</v>
      </c>
      <c r="AP9" s="12" t="s">
        <v>463</v>
      </c>
      <c r="AQ9" s="30" t="s">
        <v>464</v>
      </c>
      <c r="AR9" s="30" t="s">
        <v>465</v>
      </c>
      <c r="AV9" s="1"/>
    </row>
    <row r="10" spans="2:48" x14ac:dyDescent="0.3">
      <c r="B10" s="5" t="s">
        <v>435</v>
      </c>
      <c r="C10" s="6"/>
      <c r="D10" s="6"/>
      <c r="E10" s="6"/>
      <c r="J10" s="10">
        <v>45597</v>
      </c>
      <c r="O10">
        <v>1</v>
      </c>
      <c r="Q10">
        <v>3</v>
      </c>
      <c r="R10">
        <v>4</v>
      </c>
      <c r="S10">
        <v>2</v>
      </c>
      <c r="T10">
        <v>6</v>
      </c>
      <c r="U10">
        <v>3</v>
      </c>
      <c r="V10">
        <v>11</v>
      </c>
      <c r="W10">
        <v>15</v>
      </c>
      <c r="Y10" s="11">
        <f>dashboard!$D$6 - ROWS(Y10:$Y$22) + 1</f>
        <v>45601</v>
      </c>
      <c r="Z10" s="14">
        <f t="shared" ref="Z10:AB22" si="0">GETPIVOTDATA("id",$J$9,"date",$Y10,"sentiment",Z$9,"topic_dominant",$D$4)</f>
        <v>2</v>
      </c>
      <c r="AA10" s="14">
        <f t="shared" si="0"/>
        <v>0</v>
      </c>
      <c r="AB10" s="14">
        <f t="shared" si="0"/>
        <v>2</v>
      </c>
      <c r="AC10" s="14">
        <f t="shared" ref="AC10:AC22" si="1">SUM(Z10:AB10)</f>
        <v>4</v>
      </c>
      <c r="AD10" s="16"/>
      <c r="AF10" s="14">
        <f t="shared" ref="AF10:AH22" si="2">SUM(GETPIVOTDATA("id",$J$9,"date",$Y10,"topic_dominant",INDEX($B$13:$B$15,MATCH(AF$9,$C$13:$C$15,0)),"sentiment","positive"),
     GETPIVOTDATA("id",$J$9,"date",$Y10,"topic_dominant",INDEX($B$13:$B$15,MATCH(AF$9,$C$13:$C$15,0)),"sentiment","negative"),
     GETPIVOTDATA("id",$J$9,"date",$Y10,"topic_dominant",INDEX($B$13:$B$15,MATCH(AF$9,$C$13:$C$15,0)),"sentiment","neutral"))</f>
        <v>0</v>
      </c>
      <c r="AG10" s="14">
        <f t="shared" si="2"/>
        <v>4</v>
      </c>
      <c r="AH10" s="14">
        <f t="shared" si="2"/>
        <v>0</v>
      </c>
      <c r="AI10" s="14">
        <f t="shared" ref="AI10:AI22" si="3">SUM(AF10:AH10)</f>
        <v>4</v>
      </c>
      <c r="AK10" s="14" t="s">
        <v>447</v>
      </c>
      <c r="AL10" s="14">
        <f t="shared" ref="AL10:AN12" si="4">GETPIVOTDATA("id",$J$9,"topic_dominant",INDEX($B$13:$B$15,MATCH($AK10,$C$13:$C$15,0)),"sentiment",AL$9)</f>
        <v>7</v>
      </c>
      <c r="AM10" s="14">
        <f t="shared" si="4"/>
        <v>3</v>
      </c>
      <c r="AN10" s="14">
        <f t="shared" si="4"/>
        <v>11</v>
      </c>
      <c r="AO10" s="14">
        <f>SUM(AL10:AN10)</f>
        <v>21</v>
      </c>
      <c r="AP10" s="31">
        <f t="shared" ref="AP10:AR12" si="5">AL10/$AO10</f>
        <v>0.33333333333333331</v>
      </c>
      <c r="AQ10" s="31">
        <f t="shared" si="5"/>
        <v>0.14285714285714285</v>
      </c>
      <c r="AR10" s="31">
        <f t="shared" si="5"/>
        <v>0.52380952380952384</v>
      </c>
      <c r="AV10" s="15"/>
    </row>
    <row r="11" spans="2:48" x14ac:dyDescent="0.3">
      <c r="J11" s="10">
        <v>45598</v>
      </c>
      <c r="P11">
        <v>1</v>
      </c>
      <c r="Q11">
        <v>2</v>
      </c>
      <c r="R11">
        <v>3</v>
      </c>
      <c r="S11">
        <v>1</v>
      </c>
      <c r="U11">
        <v>1</v>
      </c>
      <c r="V11">
        <v>2</v>
      </c>
      <c r="W11">
        <v>5</v>
      </c>
      <c r="Y11" s="11">
        <f>dashboard!$D$6 - ROWS(Y11:$Y$22) + 1</f>
        <v>45602</v>
      </c>
      <c r="Z11" s="14">
        <f t="shared" si="0"/>
        <v>1</v>
      </c>
      <c r="AA11" s="14">
        <f t="shared" si="0"/>
        <v>0</v>
      </c>
      <c r="AB11" s="14">
        <f t="shared" si="0"/>
        <v>1</v>
      </c>
      <c r="AC11" s="14">
        <f t="shared" si="1"/>
        <v>2</v>
      </c>
      <c r="AD11" s="16"/>
      <c r="AF11" s="14">
        <f t="shared" si="2"/>
        <v>1</v>
      </c>
      <c r="AG11" s="14">
        <f t="shared" si="2"/>
        <v>2</v>
      </c>
      <c r="AH11" s="14">
        <f t="shared" si="2"/>
        <v>2</v>
      </c>
      <c r="AI11" s="14">
        <f t="shared" si="3"/>
        <v>5</v>
      </c>
      <c r="AK11" s="14" t="s">
        <v>448</v>
      </c>
      <c r="AL11" s="14">
        <f t="shared" si="4"/>
        <v>21</v>
      </c>
      <c r="AM11" s="14">
        <f t="shared" si="4"/>
        <v>3</v>
      </c>
      <c r="AN11" s="14">
        <f t="shared" si="4"/>
        <v>20</v>
      </c>
      <c r="AO11" s="14">
        <f>SUM(AL11:AN11)</f>
        <v>44</v>
      </c>
      <c r="AP11" s="31">
        <f t="shared" si="5"/>
        <v>0.47727272727272729</v>
      </c>
      <c r="AQ11" s="31">
        <f t="shared" si="5"/>
        <v>6.8181818181818177E-2</v>
      </c>
      <c r="AR11" s="31">
        <f t="shared" si="5"/>
        <v>0.45454545454545453</v>
      </c>
      <c r="AV11" s="15"/>
    </row>
    <row r="12" spans="2:48" x14ac:dyDescent="0.3">
      <c r="B12" s="1" t="s">
        <v>436</v>
      </c>
      <c r="C12" s="1" t="s">
        <v>437</v>
      </c>
      <c r="D12" s="1" t="s">
        <v>457</v>
      </c>
      <c r="J12" s="10">
        <v>45599</v>
      </c>
      <c r="O12">
        <v>2</v>
      </c>
      <c r="Q12">
        <v>1</v>
      </c>
      <c r="R12">
        <v>3</v>
      </c>
      <c r="S12">
        <v>1</v>
      </c>
      <c r="U12">
        <v>1</v>
      </c>
      <c r="V12">
        <v>2</v>
      </c>
      <c r="W12">
        <v>5</v>
      </c>
      <c r="Y12" s="11">
        <f>dashboard!$D$6 - ROWS(Y12:$Y$22) + 1</f>
        <v>45603</v>
      </c>
      <c r="Z12" s="14">
        <f t="shared" si="0"/>
        <v>1</v>
      </c>
      <c r="AA12" s="14">
        <f t="shared" si="0"/>
        <v>0</v>
      </c>
      <c r="AB12" s="14">
        <f t="shared" si="0"/>
        <v>2</v>
      </c>
      <c r="AC12" s="14">
        <f t="shared" si="1"/>
        <v>3</v>
      </c>
      <c r="AD12" s="16"/>
      <c r="AF12" s="14">
        <f t="shared" si="2"/>
        <v>0</v>
      </c>
      <c r="AG12" s="14">
        <f t="shared" si="2"/>
        <v>3</v>
      </c>
      <c r="AH12" s="14">
        <f t="shared" si="2"/>
        <v>1</v>
      </c>
      <c r="AI12" s="14">
        <f t="shared" si="3"/>
        <v>4</v>
      </c>
      <c r="AK12" s="14" t="s">
        <v>449</v>
      </c>
      <c r="AL12" s="14">
        <f t="shared" si="4"/>
        <v>13</v>
      </c>
      <c r="AM12" s="14">
        <f t="shared" si="4"/>
        <v>2</v>
      </c>
      <c r="AN12" s="14">
        <f t="shared" si="4"/>
        <v>19</v>
      </c>
      <c r="AO12" s="14">
        <f>SUM(AL12:AN12)</f>
        <v>34</v>
      </c>
      <c r="AP12" s="31">
        <f t="shared" si="5"/>
        <v>0.38235294117647056</v>
      </c>
      <c r="AQ12" s="31">
        <f t="shared" si="5"/>
        <v>5.8823529411764705E-2</v>
      </c>
      <c r="AR12" s="31">
        <f t="shared" si="5"/>
        <v>0.55882352941176472</v>
      </c>
      <c r="AV12" s="15"/>
    </row>
    <row r="13" spans="2:48" x14ac:dyDescent="0.3">
      <c r="B13">
        <v>1</v>
      </c>
      <c r="C13" t="s">
        <v>447</v>
      </c>
      <c r="J13" s="10">
        <v>45600</v>
      </c>
      <c r="O13">
        <v>1</v>
      </c>
      <c r="P13">
        <v>2</v>
      </c>
      <c r="R13">
        <v>3</v>
      </c>
      <c r="T13">
        <v>5</v>
      </c>
      <c r="U13">
        <v>1</v>
      </c>
      <c r="V13">
        <v>6</v>
      </c>
      <c r="W13">
        <v>9</v>
      </c>
      <c r="Y13" s="11">
        <f>dashboard!$D$6 - ROWS(Y13:$Y$22) + 1</f>
        <v>45604</v>
      </c>
      <c r="Z13" s="14">
        <f t="shared" si="0"/>
        <v>0</v>
      </c>
      <c r="AA13" s="14">
        <f t="shared" si="0"/>
        <v>0</v>
      </c>
      <c r="AB13" s="14">
        <f t="shared" si="0"/>
        <v>1</v>
      </c>
      <c r="AC13" s="14">
        <f t="shared" si="1"/>
        <v>1</v>
      </c>
      <c r="AD13" s="16"/>
      <c r="AF13" s="14">
        <f t="shared" si="2"/>
        <v>1</v>
      </c>
      <c r="AG13" s="14">
        <f t="shared" si="2"/>
        <v>1</v>
      </c>
      <c r="AH13" s="14">
        <f t="shared" si="2"/>
        <v>2</v>
      </c>
      <c r="AI13" s="14">
        <f t="shared" si="3"/>
        <v>4</v>
      </c>
    </row>
    <row r="14" spans="2:48" x14ac:dyDescent="0.3">
      <c r="B14">
        <v>2</v>
      </c>
      <c r="C14" t="s">
        <v>448</v>
      </c>
      <c r="J14" s="10">
        <v>45601</v>
      </c>
      <c r="P14">
        <v>2</v>
      </c>
      <c r="R14">
        <v>2</v>
      </c>
      <c r="T14">
        <v>2</v>
      </c>
      <c r="V14">
        <v>2</v>
      </c>
      <c r="W14">
        <v>4</v>
      </c>
      <c r="Y14" s="11">
        <f>dashboard!$D$6 - ROWS(Y14:$Y$22) + 1</f>
        <v>45605</v>
      </c>
      <c r="Z14" s="14">
        <f t="shared" si="0"/>
        <v>1</v>
      </c>
      <c r="AA14" s="14">
        <f t="shared" si="0"/>
        <v>0</v>
      </c>
      <c r="AB14" s="14">
        <f t="shared" si="0"/>
        <v>0</v>
      </c>
      <c r="AC14" s="14">
        <f t="shared" si="1"/>
        <v>1</v>
      </c>
      <c r="AD14" s="16"/>
      <c r="AF14" s="14">
        <f t="shared" si="2"/>
        <v>0</v>
      </c>
      <c r="AG14" s="14">
        <f t="shared" si="2"/>
        <v>1</v>
      </c>
      <c r="AH14" s="14">
        <f t="shared" si="2"/>
        <v>1</v>
      </c>
      <c r="AI14" s="14">
        <f t="shared" si="3"/>
        <v>2</v>
      </c>
    </row>
    <row r="15" spans="2:48" x14ac:dyDescent="0.3">
      <c r="B15">
        <v>3</v>
      </c>
      <c r="C15" t="s">
        <v>449</v>
      </c>
      <c r="J15" s="10">
        <v>45602</v>
      </c>
      <c r="P15">
        <v>1</v>
      </c>
      <c r="R15">
        <v>1</v>
      </c>
      <c r="S15">
        <v>1</v>
      </c>
      <c r="T15">
        <v>1</v>
      </c>
      <c r="U15">
        <v>2</v>
      </c>
      <c r="V15">
        <v>4</v>
      </c>
      <c r="W15">
        <v>5</v>
      </c>
      <c r="Y15" s="11">
        <f>dashboard!$D$6 - ROWS(Y15:$Y$22) + 1</f>
        <v>45606</v>
      </c>
      <c r="Z15" s="14">
        <f t="shared" si="0"/>
        <v>3</v>
      </c>
      <c r="AA15" s="14">
        <f t="shared" si="0"/>
        <v>0</v>
      </c>
      <c r="AB15" s="14">
        <f t="shared" si="0"/>
        <v>2</v>
      </c>
      <c r="AC15" s="14">
        <f t="shared" si="1"/>
        <v>5</v>
      </c>
      <c r="AD15" s="16"/>
      <c r="AF15" s="14">
        <f t="shared" si="2"/>
        <v>3</v>
      </c>
      <c r="AG15" s="14">
        <f t="shared" si="2"/>
        <v>5</v>
      </c>
      <c r="AH15" s="14">
        <f t="shared" si="2"/>
        <v>0</v>
      </c>
      <c r="AI15" s="14">
        <f t="shared" si="3"/>
        <v>8</v>
      </c>
    </row>
    <row r="16" spans="2:48" x14ac:dyDescent="0.3">
      <c r="J16" s="10">
        <v>45603</v>
      </c>
      <c r="P16">
        <v>2</v>
      </c>
      <c r="R16">
        <v>2</v>
      </c>
      <c r="T16">
        <v>1</v>
      </c>
      <c r="U16">
        <v>1</v>
      </c>
      <c r="V16">
        <v>2</v>
      </c>
      <c r="W16">
        <v>4</v>
      </c>
      <c r="Y16" s="11">
        <f>dashboard!$D$6 - ROWS(Y16:$Y$22) + 1</f>
        <v>45607</v>
      </c>
      <c r="Z16" s="14">
        <f t="shared" si="0"/>
        <v>0</v>
      </c>
      <c r="AA16" s="14">
        <f t="shared" si="0"/>
        <v>1</v>
      </c>
      <c r="AB16" s="14">
        <f t="shared" si="0"/>
        <v>1</v>
      </c>
      <c r="AC16" s="14">
        <f t="shared" si="1"/>
        <v>2</v>
      </c>
      <c r="AD16" s="16"/>
      <c r="AF16" s="14">
        <f t="shared" si="2"/>
        <v>0</v>
      </c>
      <c r="AG16" s="14">
        <f t="shared" si="2"/>
        <v>2</v>
      </c>
      <c r="AH16" s="14">
        <f t="shared" si="2"/>
        <v>3</v>
      </c>
      <c r="AI16" s="14">
        <f t="shared" si="3"/>
        <v>5</v>
      </c>
    </row>
    <row r="17" spans="2:35" x14ac:dyDescent="0.3">
      <c r="J17" s="10">
        <v>45604</v>
      </c>
      <c r="O17">
        <v>1</v>
      </c>
      <c r="P17">
        <v>1</v>
      </c>
      <c r="R17">
        <v>2</v>
      </c>
      <c r="U17">
        <v>2</v>
      </c>
      <c r="V17">
        <v>2</v>
      </c>
      <c r="W17">
        <v>4</v>
      </c>
      <c r="Y17" s="11">
        <f>dashboard!$D$6 - ROWS(Y17:$Y$22) + 1</f>
        <v>45608</v>
      </c>
      <c r="Z17" s="14">
        <f t="shared" si="0"/>
        <v>0</v>
      </c>
      <c r="AA17" s="14">
        <f t="shared" si="0"/>
        <v>1</v>
      </c>
      <c r="AB17" s="14">
        <f t="shared" si="0"/>
        <v>2</v>
      </c>
      <c r="AC17" s="14">
        <f t="shared" si="1"/>
        <v>3</v>
      </c>
      <c r="AD17" s="16"/>
      <c r="AF17" s="14">
        <f t="shared" si="2"/>
        <v>1</v>
      </c>
      <c r="AG17" s="14">
        <f t="shared" si="2"/>
        <v>3</v>
      </c>
      <c r="AH17" s="14">
        <f t="shared" si="2"/>
        <v>0</v>
      </c>
      <c r="AI17" s="14">
        <f t="shared" si="3"/>
        <v>4</v>
      </c>
    </row>
    <row r="18" spans="2:35" x14ac:dyDescent="0.3">
      <c r="B18" s="1" t="s">
        <v>457</v>
      </c>
      <c r="C18">
        <f>COUNT(Table1[id])</f>
        <v>99</v>
      </c>
      <c r="J18" s="10">
        <v>45605</v>
      </c>
      <c r="Q18">
        <v>1</v>
      </c>
      <c r="R18">
        <v>1</v>
      </c>
      <c r="T18">
        <v>1</v>
      </c>
      <c r="V18">
        <v>1</v>
      </c>
      <c r="W18">
        <v>2</v>
      </c>
      <c r="Y18" s="11">
        <f>dashboard!$D$6 - ROWS(Y18:$Y$22) + 1</f>
        <v>45609</v>
      </c>
      <c r="Z18" s="14">
        <f t="shared" si="0"/>
        <v>2</v>
      </c>
      <c r="AA18" s="14">
        <f t="shared" si="0"/>
        <v>0</v>
      </c>
      <c r="AB18" s="14">
        <f t="shared" si="0"/>
        <v>2</v>
      </c>
      <c r="AC18" s="14">
        <f t="shared" si="1"/>
        <v>4</v>
      </c>
      <c r="AD18" s="16"/>
      <c r="AF18" s="14">
        <f t="shared" si="2"/>
        <v>2</v>
      </c>
      <c r="AG18" s="14">
        <f t="shared" si="2"/>
        <v>4</v>
      </c>
      <c r="AH18" s="14">
        <f t="shared" si="2"/>
        <v>2</v>
      </c>
      <c r="AI18" s="14">
        <f t="shared" si="3"/>
        <v>8</v>
      </c>
    </row>
    <row r="19" spans="2:35" x14ac:dyDescent="0.3">
      <c r="B19" s="1" t="s">
        <v>567</v>
      </c>
      <c r="C19" s="16">
        <f>COUNTIFS(Table1[sentiment],"=Negative") / $C$18</f>
        <v>8.0808080808080815E-2</v>
      </c>
      <c r="J19" s="10">
        <v>45606</v>
      </c>
      <c r="O19">
        <v>1</v>
      </c>
      <c r="P19">
        <v>2</v>
      </c>
      <c r="R19">
        <v>3</v>
      </c>
      <c r="S19">
        <v>2</v>
      </c>
      <c r="T19">
        <v>3</v>
      </c>
      <c r="V19">
        <v>5</v>
      </c>
      <c r="W19">
        <v>8</v>
      </c>
      <c r="Y19" s="11">
        <f>dashboard!$D$6 - ROWS(Y19:$Y$22) + 1</f>
        <v>45610</v>
      </c>
      <c r="Z19" s="14">
        <f t="shared" si="0"/>
        <v>0</v>
      </c>
      <c r="AA19" s="14">
        <f t="shared" si="0"/>
        <v>1</v>
      </c>
      <c r="AB19" s="14">
        <f t="shared" si="0"/>
        <v>1</v>
      </c>
      <c r="AC19" s="14">
        <f t="shared" si="1"/>
        <v>2</v>
      </c>
      <c r="AD19" s="16"/>
      <c r="AF19" s="14">
        <f t="shared" si="2"/>
        <v>3</v>
      </c>
      <c r="AG19" s="14">
        <f t="shared" si="2"/>
        <v>2</v>
      </c>
      <c r="AH19" s="14">
        <f t="shared" si="2"/>
        <v>3</v>
      </c>
      <c r="AI19" s="14">
        <f t="shared" si="3"/>
        <v>8</v>
      </c>
    </row>
    <row r="20" spans="2:35" x14ac:dyDescent="0.3">
      <c r="B20" s="1" t="s">
        <v>568</v>
      </c>
      <c r="C20" s="16">
        <f>COUNTIFS(Table1[sentiment],"=Positive") / $C$18</f>
        <v>0.41414141414141414</v>
      </c>
      <c r="J20" s="10">
        <v>45607</v>
      </c>
      <c r="L20">
        <v>1</v>
      </c>
      <c r="M20">
        <v>1</v>
      </c>
      <c r="N20">
        <v>2</v>
      </c>
      <c r="P20">
        <v>1</v>
      </c>
      <c r="Q20">
        <v>2</v>
      </c>
      <c r="R20">
        <v>3</v>
      </c>
      <c r="W20">
        <v>5</v>
      </c>
      <c r="Y20" s="11">
        <f>dashboard!$D$6 - ROWS(Y20:$Y$22) + 1</f>
        <v>45611</v>
      </c>
      <c r="Z20" s="14">
        <f t="shared" si="0"/>
        <v>0</v>
      </c>
      <c r="AA20" s="14">
        <f t="shared" si="0"/>
        <v>0</v>
      </c>
      <c r="AB20" s="14">
        <f t="shared" si="0"/>
        <v>0</v>
      </c>
      <c r="AC20" s="14">
        <f t="shared" si="1"/>
        <v>0</v>
      </c>
      <c r="AD20" s="16"/>
      <c r="AF20" s="14">
        <f t="shared" si="2"/>
        <v>0</v>
      </c>
      <c r="AG20" s="14">
        <f t="shared" si="2"/>
        <v>0</v>
      </c>
      <c r="AH20" s="14">
        <f t="shared" si="2"/>
        <v>5</v>
      </c>
      <c r="AI20" s="14">
        <f t="shared" si="3"/>
        <v>5</v>
      </c>
    </row>
    <row r="21" spans="2:35" x14ac:dyDescent="0.3">
      <c r="J21" s="10">
        <v>45608</v>
      </c>
      <c r="L21">
        <v>1</v>
      </c>
      <c r="N21">
        <v>1</v>
      </c>
      <c r="O21">
        <v>1</v>
      </c>
      <c r="P21">
        <v>2</v>
      </c>
      <c r="R21">
        <v>3</v>
      </c>
      <c r="W21">
        <v>4</v>
      </c>
      <c r="Y21" s="11">
        <f>dashboard!$D$6 - ROWS(Y21:$Y$22) + 1</f>
        <v>45612</v>
      </c>
      <c r="Z21" s="14">
        <f t="shared" si="0"/>
        <v>0</v>
      </c>
      <c r="AA21" s="14">
        <f t="shared" si="0"/>
        <v>0</v>
      </c>
      <c r="AB21" s="14">
        <f t="shared" si="0"/>
        <v>1</v>
      </c>
      <c r="AC21" s="14">
        <f t="shared" si="1"/>
        <v>1</v>
      </c>
      <c r="AD21" s="16"/>
      <c r="AF21" s="14">
        <f t="shared" si="2"/>
        <v>1</v>
      </c>
      <c r="AG21" s="14">
        <f t="shared" si="2"/>
        <v>1</v>
      </c>
      <c r="AH21" s="14">
        <f t="shared" si="2"/>
        <v>1</v>
      </c>
      <c r="AI21" s="14">
        <f t="shared" si="3"/>
        <v>3</v>
      </c>
    </row>
    <row r="22" spans="2:35" x14ac:dyDescent="0.3">
      <c r="J22" s="10">
        <v>45609</v>
      </c>
      <c r="K22">
        <v>1</v>
      </c>
      <c r="N22">
        <v>1</v>
      </c>
      <c r="O22">
        <v>1</v>
      </c>
      <c r="P22">
        <v>2</v>
      </c>
      <c r="Q22">
        <v>2</v>
      </c>
      <c r="R22">
        <v>5</v>
      </c>
      <c r="T22">
        <v>2</v>
      </c>
      <c r="V22">
        <v>2</v>
      </c>
      <c r="W22">
        <v>8</v>
      </c>
      <c r="Y22" s="11">
        <f>dashboard!$D$6 - ROWS(Y22:$Y$22) + 1</f>
        <v>45613</v>
      </c>
      <c r="Z22" s="14">
        <f t="shared" si="0"/>
        <v>0</v>
      </c>
      <c r="AA22" s="14">
        <f t="shared" si="0"/>
        <v>0</v>
      </c>
      <c r="AB22" s="14">
        <f t="shared" si="0"/>
        <v>2</v>
      </c>
      <c r="AC22" s="14">
        <f t="shared" si="1"/>
        <v>2</v>
      </c>
      <c r="AD22" s="16"/>
      <c r="AF22" s="14">
        <f t="shared" si="2"/>
        <v>1</v>
      </c>
      <c r="AG22" s="14">
        <f t="shared" si="2"/>
        <v>2</v>
      </c>
      <c r="AH22" s="14">
        <f t="shared" si="2"/>
        <v>2</v>
      </c>
      <c r="AI22" s="14">
        <f t="shared" si="3"/>
        <v>5</v>
      </c>
    </row>
    <row r="23" spans="2:35" x14ac:dyDescent="0.3">
      <c r="J23" s="10">
        <v>45610</v>
      </c>
      <c r="K23">
        <v>1</v>
      </c>
      <c r="L23">
        <v>1</v>
      </c>
      <c r="N23">
        <v>2</v>
      </c>
      <c r="O23">
        <v>2</v>
      </c>
      <c r="P23">
        <v>1</v>
      </c>
      <c r="Q23">
        <v>3</v>
      </c>
      <c r="R23">
        <v>6</v>
      </c>
      <c r="W23">
        <v>8</v>
      </c>
      <c r="Z23" s="1">
        <f>SUM(Z10:Z22)</f>
        <v>10</v>
      </c>
      <c r="AA23" s="1">
        <f>SUM(AA10:AA22)</f>
        <v>3</v>
      </c>
      <c r="AB23" s="1">
        <f>SUM(AB10:AB22)</f>
        <v>17</v>
      </c>
      <c r="AC23" s="1"/>
      <c r="AD23" s="1"/>
    </row>
    <row r="24" spans="2:35" x14ac:dyDescent="0.3">
      <c r="J24" s="10">
        <v>45611</v>
      </c>
      <c r="M24">
        <v>1</v>
      </c>
      <c r="N24">
        <v>1</v>
      </c>
      <c r="Q24">
        <v>3</v>
      </c>
      <c r="R24">
        <v>3</v>
      </c>
      <c r="U24">
        <v>1</v>
      </c>
      <c r="V24">
        <v>1</v>
      </c>
      <c r="W24">
        <v>5</v>
      </c>
    </row>
    <row r="25" spans="2:35" x14ac:dyDescent="0.3">
      <c r="J25" s="10">
        <v>45612</v>
      </c>
      <c r="K25">
        <v>1</v>
      </c>
      <c r="N25">
        <v>1</v>
      </c>
      <c r="P25">
        <v>1</v>
      </c>
      <c r="R25">
        <v>1</v>
      </c>
      <c r="U25">
        <v>1</v>
      </c>
      <c r="V25">
        <v>1</v>
      </c>
      <c r="W25">
        <v>3</v>
      </c>
    </row>
    <row r="26" spans="2:35" x14ac:dyDescent="0.3">
      <c r="J26" s="10">
        <v>45613</v>
      </c>
      <c r="O26">
        <v>1</v>
      </c>
      <c r="P26">
        <v>2</v>
      </c>
      <c r="Q26">
        <v>2</v>
      </c>
      <c r="R26">
        <v>5</v>
      </c>
      <c r="W26">
        <v>5</v>
      </c>
    </row>
    <row r="27" spans="2:35" x14ac:dyDescent="0.3">
      <c r="J27" s="10" t="s">
        <v>433</v>
      </c>
      <c r="K27">
        <v>3</v>
      </c>
      <c r="L27">
        <v>3</v>
      </c>
      <c r="M27">
        <v>2</v>
      </c>
      <c r="N27">
        <v>8</v>
      </c>
      <c r="O27">
        <v>11</v>
      </c>
      <c r="P27">
        <v>20</v>
      </c>
      <c r="Q27">
        <v>19</v>
      </c>
      <c r="R27">
        <v>50</v>
      </c>
      <c r="S27">
        <v>7</v>
      </c>
      <c r="T27">
        <v>21</v>
      </c>
      <c r="U27">
        <v>13</v>
      </c>
      <c r="V27">
        <v>41</v>
      </c>
      <c r="W27">
        <v>99</v>
      </c>
    </row>
    <row r="28" spans="2:35" x14ac:dyDescent="0.3">
      <c r="J28"/>
    </row>
    <row r="29" spans="2:35" x14ac:dyDescent="0.3">
      <c r="J29"/>
      <c r="O29" s="2"/>
    </row>
    <row r="30" spans="2:35" x14ac:dyDescent="0.3">
      <c r="O30" s="2"/>
    </row>
    <row r="31" spans="2:35" x14ac:dyDescent="0.3">
      <c r="J31" s="3" t="s">
        <v>455</v>
      </c>
      <c r="K31" s="4"/>
      <c r="L31" s="4"/>
      <c r="M31" s="4"/>
      <c r="O31" s="2"/>
    </row>
    <row r="32" spans="2:35" x14ac:dyDescent="0.3">
      <c r="J32"/>
    </row>
    <row r="33" spans="10:42" x14ac:dyDescent="0.3">
      <c r="J33"/>
      <c r="AC33" s="18" t="s">
        <v>469</v>
      </c>
      <c r="AD33" s="19"/>
    </row>
    <row r="34" spans="10:42" x14ac:dyDescent="0.3">
      <c r="J34"/>
      <c r="AC34" s="20" t="s">
        <v>470</v>
      </c>
      <c r="AD34" s="21">
        <f>MIN(TableAspectSorted[Total])</f>
        <v>0</v>
      </c>
    </row>
    <row r="35" spans="10:42" x14ac:dyDescent="0.3">
      <c r="J35"/>
      <c r="AC35" s="22" t="s">
        <v>471</v>
      </c>
      <c r="AD35" s="23">
        <f>MAX(TableAspectSorted[Total]) + 1</f>
        <v>19</v>
      </c>
    </row>
    <row r="36" spans="10:42" x14ac:dyDescent="0.3">
      <c r="J36" s="24" t="s">
        <v>453</v>
      </c>
      <c r="K36" s="24" t="s">
        <v>438</v>
      </c>
      <c r="L36" s="25"/>
      <c r="M36" s="25"/>
      <c r="N36" s="25"/>
      <c r="O36" s="25"/>
      <c r="P36" s="25"/>
      <c r="Q36" s="25"/>
      <c r="R36" s="25"/>
      <c r="S36" s="25"/>
    </row>
    <row r="37" spans="10:42" x14ac:dyDescent="0.3">
      <c r="J37" s="25"/>
      <c r="K37" s="25">
        <v>1</v>
      </c>
      <c r="L37" s="25"/>
      <c r="M37" s="25"/>
      <c r="N37" s="25">
        <v>2</v>
      </c>
      <c r="O37" s="25"/>
      <c r="P37" s="25"/>
      <c r="Q37" s="25">
        <v>3</v>
      </c>
      <c r="R37" s="25"/>
      <c r="S37" s="25"/>
    </row>
    <row r="38" spans="10:42" x14ac:dyDescent="0.3">
      <c r="J38" s="24" t="s">
        <v>432</v>
      </c>
      <c r="K38" s="25" t="s">
        <v>71</v>
      </c>
      <c r="L38" s="25" t="s">
        <v>8</v>
      </c>
      <c r="M38" s="25" t="s">
        <v>10</v>
      </c>
      <c r="N38" s="25" t="s">
        <v>71</v>
      </c>
      <c r="O38" s="25" t="s">
        <v>8</v>
      </c>
      <c r="P38" s="25" t="s">
        <v>10</v>
      </c>
      <c r="Q38" s="25" t="s">
        <v>71</v>
      </c>
      <c r="R38" s="25" t="s">
        <v>8</v>
      </c>
      <c r="S38" s="25" t="s">
        <v>10</v>
      </c>
      <c r="V38" t="s">
        <v>454</v>
      </c>
      <c r="W38" s="1" t="s">
        <v>10</v>
      </c>
      <c r="X38" s="1" t="s">
        <v>71</v>
      </c>
      <c r="Y38" s="1" t="s">
        <v>8</v>
      </c>
      <c r="Z38" s="1" t="s">
        <v>450</v>
      </c>
      <c r="AA38" s="1" t="s">
        <v>468</v>
      </c>
      <c r="AC38" t="s">
        <v>468</v>
      </c>
      <c r="AD38" t="s">
        <v>454</v>
      </c>
      <c r="AE38" t="s">
        <v>10</v>
      </c>
      <c r="AF38" t="s">
        <v>71</v>
      </c>
      <c r="AG38" t="s">
        <v>8</v>
      </c>
      <c r="AH38" t="s">
        <v>450</v>
      </c>
    </row>
    <row r="39" spans="10:42" x14ac:dyDescent="0.3">
      <c r="J39" s="25" t="s">
        <v>164</v>
      </c>
      <c r="K39" s="25"/>
      <c r="L39" s="25"/>
      <c r="M39" s="25"/>
      <c r="N39" s="25"/>
      <c r="O39" s="25"/>
      <c r="P39" s="25"/>
      <c r="Q39" s="26"/>
      <c r="R39" s="25">
        <v>1</v>
      </c>
      <c r="S39" s="26"/>
      <c r="V39" t="str">
        <f t="shared" ref="V39:V69" si="6">J39</f>
        <v>buying</v>
      </c>
      <c r="W39">
        <f>INDEX($K$39:$S$69,ROWS($J$39:J39),MATCH($D$4,$K$37:$S$37,0)+2)</f>
        <v>0</v>
      </c>
      <c r="X39">
        <f>INDEX($K$39:$S$69,ROWS($J$39:J39),MATCH($D$4,$K$37:$S$37,0))</f>
        <v>0</v>
      </c>
      <c r="Y39">
        <f>INDEX($K$39:$S$69,ROWS($J$39:J39),MATCH($D$4,$K$37:$S$37,0)+1)</f>
        <v>0</v>
      </c>
      <c r="Z39">
        <f t="shared" ref="Z39:Z69" si="7">SUM(W39:Y39)</f>
        <v>0</v>
      </c>
      <c r="AA39">
        <f>TableAspect[[#This Row],[Total]]+(COUNTIFS($Z$39:Z39,Z39) - 1) * 0.000000001</f>
        <v>0</v>
      </c>
      <c r="AC39">
        <f>LARGE(TableAspect[UNIQUE],ROW()-ROW($AC$38))</f>
        <v>18</v>
      </c>
      <c r="AD39" t="str">
        <f>INDEX(TableAspect[Aspect],MATCH(AC39,TableAspect[UNIQUE],0))</f>
        <v>staff</v>
      </c>
      <c r="AE39">
        <f>INDEX(TableAspect[Positive],MATCH(AC39,TableAspect[UNIQUE],0))</f>
        <v>6</v>
      </c>
      <c r="AF39">
        <f>INDEX(TableAspect[Negative],MATCH(AC39,TableAspect[UNIQUE],0))</f>
        <v>2</v>
      </c>
      <c r="AG39">
        <f>INDEX(TableAspect[Neutral],MATCH(AC39,TableAspect[UNIQUE],0))</f>
        <v>10</v>
      </c>
      <c r="AH39">
        <f>INDEX(TableAspect[Total],MATCH(AC39,TableAspect[UNIQUE],0))</f>
        <v>18</v>
      </c>
    </row>
    <row r="40" spans="10:42" x14ac:dyDescent="0.3">
      <c r="J40" s="25" t="s">
        <v>160</v>
      </c>
      <c r="K40" s="25"/>
      <c r="L40" s="25"/>
      <c r="M40" s="25"/>
      <c r="N40" s="25"/>
      <c r="O40" s="25"/>
      <c r="P40" s="25">
        <v>1</v>
      </c>
      <c r="Q40" s="26"/>
      <c r="R40" s="25"/>
      <c r="S40" s="26"/>
      <c r="V40" t="str">
        <f t="shared" si="6"/>
        <v>deal</v>
      </c>
      <c r="W40">
        <f>INDEX($K$39:$S$69,ROWS($J$39:J40),MATCH($D$4,$K$37:$S$37,0)+2)</f>
        <v>1</v>
      </c>
      <c r="X40">
        <f>INDEX($K$39:$S$69,ROWS($J$39:J40),MATCH($D$4,$K$37:$S$37,0))</f>
        <v>0</v>
      </c>
      <c r="Y40">
        <f>INDEX($K$39:$S$69,ROWS($J$39:J40),MATCH($D$4,$K$37:$S$37,0)+1)</f>
        <v>0</v>
      </c>
      <c r="Z40">
        <f t="shared" si="7"/>
        <v>1</v>
      </c>
      <c r="AA40">
        <f>TableAspect[[#This Row],[Total]]+(COUNTIFS($Z$39:Z40,Z40) - 1) * 0.000000001</f>
        <v>1</v>
      </c>
      <c r="AC40">
        <f>LARGE(TableAspect[UNIQUE],ROW()-ROW($AC$38))</f>
        <v>13</v>
      </c>
      <c r="AD40" t="str">
        <f>INDEX(TableAspect[Aspect],MATCH(AC40,TableAspect[UNIQUE],0))</f>
        <v>store</v>
      </c>
      <c r="AE40">
        <f>INDEX(TableAspect[Positive],MATCH(AC40,TableAspect[UNIQUE],0))</f>
        <v>6</v>
      </c>
      <c r="AF40">
        <f>INDEX(TableAspect[Negative],MATCH(AC40,TableAspect[UNIQUE],0))</f>
        <v>0</v>
      </c>
      <c r="AG40">
        <f>INDEX(TableAspect[Neutral],MATCH(AC40,TableAspect[UNIQUE],0))</f>
        <v>7</v>
      </c>
      <c r="AH40">
        <f>INDEX(TableAspect[Total],MATCH(AC40,TableAspect[UNIQUE],0))</f>
        <v>13</v>
      </c>
    </row>
    <row r="41" spans="10:42" x14ac:dyDescent="0.3">
      <c r="J41" s="25" t="s">
        <v>145</v>
      </c>
      <c r="K41" s="25"/>
      <c r="L41" s="25"/>
      <c r="M41" s="25"/>
      <c r="N41" s="25"/>
      <c r="O41" s="25"/>
      <c r="P41" s="25">
        <v>1</v>
      </c>
      <c r="Q41" s="26"/>
      <c r="R41" s="25"/>
      <c r="S41" s="26"/>
      <c r="V41" t="str">
        <f t="shared" si="6"/>
        <v>experience</v>
      </c>
      <c r="W41">
        <f>INDEX($K$39:$S$69,ROWS($J$39:J41),MATCH($D$4,$K$37:$S$37,0)+2)</f>
        <v>1</v>
      </c>
      <c r="X41">
        <f>INDEX($K$39:$S$69,ROWS($J$39:J41),MATCH($D$4,$K$37:$S$37,0))</f>
        <v>0</v>
      </c>
      <c r="Y41">
        <f>INDEX($K$39:$S$69,ROWS($J$39:J41),MATCH($D$4,$K$37:$S$37,0)+1)</f>
        <v>0</v>
      </c>
      <c r="Z41">
        <f t="shared" si="7"/>
        <v>1</v>
      </c>
      <c r="AA41">
        <f>TableAspect[[#This Row],[Total]]+(COUNTIFS($Z$39:Z41,Z41) - 1) * 0.000000001</f>
        <v>1.0000000010000001</v>
      </c>
      <c r="AC41">
        <f>LARGE(TableAspect[UNIQUE],ROW()-ROW($AC$38))</f>
        <v>8</v>
      </c>
      <c r="AD41" t="str">
        <f>INDEX(TableAspect[Aspect],MATCH(AC41,TableAspect[UNIQUE],0))</f>
        <v>service</v>
      </c>
      <c r="AE41">
        <f>INDEX(TableAspect[Positive],MATCH(AC41,TableAspect[UNIQUE],0))</f>
        <v>4</v>
      </c>
      <c r="AF41">
        <f>INDEX(TableAspect[Negative],MATCH(AC41,TableAspect[UNIQUE],0))</f>
        <v>1</v>
      </c>
      <c r="AG41">
        <f>INDEX(TableAspect[Neutral],MATCH(AC41,TableAspect[UNIQUE],0))</f>
        <v>3</v>
      </c>
      <c r="AH41">
        <f>INDEX(TableAspect[Total],MATCH(AC41,TableAspect[UNIQUE],0))</f>
        <v>8</v>
      </c>
    </row>
    <row r="42" spans="10:42" x14ac:dyDescent="0.3">
      <c r="J42" s="25" t="s">
        <v>167</v>
      </c>
      <c r="K42" s="25"/>
      <c r="L42" s="25"/>
      <c r="M42" s="25"/>
      <c r="N42" s="25"/>
      <c r="O42" s="25"/>
      <c r="P42" s="25"/>
      <c r="Q42" s="26"/>
      <c r="R42" s="25">
        <v>1</v>
      </c>
      <c r="S42" s="26"/>
      <c r="V42" t="str">
        <f t="shared" si="6"/>
        <v>fixing</v>
      </c>
      <c r="W42">
        <f>INDEX($K$39:$S$69,ROWS($J$39:J42),MATCH($D$4,$K$37:$S$37,0)+2)</f>
        <v>0</v>
      </c>
      <c r="X42">
        <f>INDEX($K$39:$S$69,ROWS($J$39:J42),MATCH($D$4,$K$37:$S$37,0))</f>
        <v>0</v>
      </c>
      <c r="Y42">
        <f>INDEX($K$39:$S$69,ROWS($J$39:J42),MATCH($D$4,$K$37:$S$37,0)+1)</f>
        <v>0</v>
      </c>
      <c r="Z42">
        <f t="shared" si="7"/>
        <v>0</v>
      </c>
      <c r="AA42">
        <f>TableAspect[[#This Row],[Total]]+(COUNTIFS($Z$39:Z42,Z42) - 1) * 0.000000001</f>
        <v>1.0000000000000001E-9</v>
      </c>
      <c r="AC42">
        <f>LARGE(TableAspect[UNIQUE],ROW()-ROW($AC$38))</f>
        <v>2.0000000020000002</v>
      </c>
      <c r="AD42" t="str">
        <f>INDEX(TableAspect[Aspect],MATCH(AC42,TableAspect[UNIQUE],0))</f>
        <v>variety</v>
      </c>
      <c r="AE42">
        <f>INDEX(TableAspect[Positive],MATCH(AC42,TableAspect[UNIQUE],0))</f>
        <v>2</v>
      </c>
      <c r="AF42">
        <f>INDEX(TableAspect[Negative],MATCH(AC42,TableAspect[UNIQUE],0))</f>
        <v>0</v>
      </c>
      <c r="AG42">
        <f>INDEX(TableAspect[Neutral],MATCH(AC42,TableAspect[UNIQUE],0))</f>
        <v>0</v>
      </c>
      <c r="AH42">
        <f>INDEX(TableAspect[Total],MATCH(AC42,TableAspect[UNIQUE],0))</f>
        <v>2</v>
      </c>
      <c r="AL42" s="35" t="s">
        <v>454</v>
      </c>
      <c r="AM42" s="12" t="s">
        <v>10</v>
      </c>
      <c r="AN42" s="12" t="s">
        <v>71</v>
      </c>
      <c r="AO42" s="12" t="s">
        <v>8</v>
      </c>
      <c r="AP42" s="12" t="s">
        <v>466</v>
      </c>
    </row>
    <row r="43" spans="10:42" x14ac:dyDescent="0.3">
      <c r="J43" s="25" t="s">
        <v>347</v>
      </c>
      <c r="K43" s="25"/>
      <c r="L43" s="25"/>
      <c r="M43" s="25"/>
      <c r="N43" s="25"/>
      <c r="O43" s="25"/>
      <c r="P43" s="25"/>
      <c r="Q43" s="26"/>
      <c r="R43" s="25">
        <v>1</v>
      </c>
      <c r="S43" s="26"/>
      <c r="V43" t="str">
        <f t="shared" si="6"/>
        <v>job</v>
      </c>
      <c r="W43">
        <f>INDEX($K$39:$S$69,ROWS($J$39:J43),MATCH($D$4,$K$37:$S$37,0)+2)</f>
        <v>0</v>
      </c>
      <c r="X43">
        <f>INDEX($K$39:$S$69,ROWS($J$39:J43),MATCH($D$4,$K$37:$S$37,0))</f>
        <v>0</v>
      </c>
      <c r="Y43">
        <f>INDEX($K$39:$S$69,ROWS($J$39:J43),MATCH($D$4,$K$37:$S$37,0)+1)</f>
        <v>0</v>
      </c>
      <c r="Z43">
        <f t="shared" si="7"/>
        <v>0</v>
      </c>
      <c r="AA43">
        <f>TableAspect[[#This Row],[Total]]+(COUNTIFS($Z$39:Z43,Z43) - 1) * 0.000000001</f>
        <v>2.0000000000000001E-9</v>
      </c>
      <c r="AC43">
        <f>LARGE(TableAspect[UNIQUE],ROW()-ROW($AC$38))</f>
        <v>2.0000000010000001</v>
      </c>
      <c r="AD43" t="str">
        <f>INDEX(TableAspect[Aspect],MATCH(AC43,TableAspect[UNIQUE],0))</f>
        <v>phone</v>
      </c>
      <c r="AE43">
        <f>INDEX(TableAspect[Positive],MATCH(AC43,TableAspect[UNIQUE],0))</f>
        <v>1</v>
      </c>
      <c r="AF43">
        <f>INDEX(TableAspect[Negative],MATCH(AC43,TableAspect[UNIQUE],0))</f>
        <v>0</v>
      </c>
      <c r="AG43">
        <f>INDEX(TableAspect[Neutral],MATCH(AC43,TableAspect[UNIQUE],0))</f>
        <v>1</v>
      </c>
      <c r="AH43">
        <f>INDEX(TableAspect[Total],MATCH(AC43,TableAspect[UNIQUE],0))</f>
        <v>2</v>
      </c>
      <c r="AL43" s="14" t="str">
        <f>IF(INDEX(calculation!AH39:$AH$69,calculation!$D$6)=0,"",INDEX(calculation!AD39:$AD$69,calculation!$D$6))</f>
        <v>staff</v>
      </c>
      <c r="AM43" s="14">
        <f>IF(INDEX(calculation!AH39:$AH$69,calculation!$D$6)=0,"",INDEX(calculation!AE39:$AE$69,calculation!$D$6))</f>
        <v>6</v>
      </c>
      <c r="AN43" s="14">
        <f>IF(INDEX(calculation!AH39:$AH$69,calculation!$D$6)=0,"",INDEX(calculation!AF39:$AF$69,calculation!$D$6))</f>
        <v>2</v>
      </c>
      <c r="AO43" s="14">
        <f>IF(INDEX(calculation!AH39:$AH$69,calculation!$D$6)=0,"",INDEX(calculation!AG39:$AG$69,calculation!$D$6))</f>
        <v>10</v>
      </c>
      <c r="AP43" s="14">
        <f>IF(INDEX(calculation!AH39:$AH$69,calculation!$D$6)=0,"",INDEX(calculation!AH39:$AH$69,calculation!$D$6))</f>
        <v>18</v>
      </c>
    </row>
    <row r="44" spans="10:42" x14ac:dyDescent="0.3">
      <c r="J44" s="25" t="s">
        <v>205</v>
      </c>
      <c r="K44" s="25"/>
      <c r="L44" s="25"/>
      <c r="M44" s="25"/>
      <c r="N44" s="25"/>
      <c r="O44" s="25"/>
      <c r="P44" s="25">
        <v>1</v>
      </c>
      <c r="Q44" s="26"/>
      <c r="R44" s="25"/>
      <c r="S44" s="26"/>
      <c r="V44" t="str">
        <f t="shared" si="6"/>
        <v>layout</v>
      </c>
      <c r="W44">
        <f>INDEX($K$39:$S$69,ROWS($J$39:J44),MATCH($D$4,$K$37:$S$37,0)+2)</f>
        <v>1</v>
      </c>
      <c r="X44">
        <f>INDEX($K$39:$S$69,ROWS($J$39:J44),MATCH($D$4,$K$37:$S$37,0))</f>
        <v>0</v>
      </c>
      <c r="Y44">
        <f>INDEX($K$39:$S$69,ROWS($J$39:J44),MATCH($D$4,$K$37:$S$37,0)+1)</f>
        <v>0</v>
      </c>
      <c r="Z44">
        <f t="shared" si="7"/>
        <v>1</v>
      </c>
      <c r="AA44">
        <f>TableAspect[[#This Row],[Total]]+(COUNTIFS($Z$39:Z44,Z44) - 1) * 0.000000001</f>
        <v>1.0000000019999999</v>
      </c>
      <c r="AC44">
        <f>LARGE(TableAspect[UNIQUE],ROW()-ROW($AC$38))</f>
        <v>2</v>
      </c>
      <c r="AD44" t="str">
        <f>INDEX(TableAspect[Aspect],MATCH(AC44,TableAspect[UNIQUE],0))</f>
        <v>one</v>
      </c>
      <c r="AE44">
        <f>INDEX(TableAspect[Positive],MATCH(AC44,TableAspect[UNIQUE],0))</f>
        <v>1</v>
      </c>
      <c r="AF44">
        <f>INDEX(TableAspect[Negative],MATCH(AC44,TableAspect[UNIQUE],0))</f>
        <v>1</v>
      </c>
      <c r="AG44">
        <f>INDEX(TableAspect[Neutral],MATCH(AC44,TableAspect[UNIQUE],0))</f>
        <v>0</v>
      </c>
      <c r="AH44">
        <f>INDEX(TableAspect[Total],MATCH(AC44,TableAspect[UNIQUE],0))</f>
        <v>2</v>
      </c>
      <c r="AL44" s="14" t="str">
        <f>IF(INDEX(calculation!AH40:$AH$69,calculation!$D$6)=0,"",INDEX(calculation!AD40:$AD$69,calculation!$D$6))</f>
        <v>store</v>
      </c>
      <c r="AM44" s="14">
        <f>IF(INDEX(calculation!AH40:$AH$69,calculation!$D$6)=0,"",INDEX(calculation!AE40:$AE$69,calculation!$D$6))</f>
        <v>6</v>
      </c>
      <c r="AN44" s="14">
        <f>IF(INDEX(calculation!AH40:$AH$69,calculation!$D$6)=0,"",INDEX(calculation!AF40:$AF$69,calculation!$D$6))</f>
        <v>0</v>
      </c>
      <c r="AO44" s="14">
        <f>IF(INDEX(calculation!AH40:$AH$69,calculation!$D$6)=0,"",INDEX(calculation!AG40:$AG$69,calculation!$D$6))</f>
        <v>7</v>
      </c>
      <c r="AP44" s="14">
        <f>IF(INDEX(calculation!AH40:$AH$69,calculation!$D$6)=0,"",INDEX(calculation!AH40:$AH$69,calculation!$D$6))</f>
        <v>13</v>
      </c>
    </row>
    <row r="45" spans="10:42" x14ac:dyDescent="0.3">
      <c r="J45" s="25" t="s">
        <v>373</v>
      </c>
      <c r="K45" s="25">
        <v>1</v>
      </c>
      <c r="L45" s="25"/>
      <c r="M45" s="25"/>
      <c r="N45" s="25"/>
      <c r="O45" s="25"/>
      <c r="P45" s="25"/>
      <c r="Q45" s="26"/>
      <c r="R45" s="25"/>
      <c r="S45" s="26"/>
      <c r="V45" t="str">
        <f t="shared" si="6"/>
        <v>long lines</v>
      </c>
      <c r="W45">
        <f>INDEX($K$39:$S$69,ROWS($J$39:J45),MATCH($D$4,$K$37:$S$37,0)+2)</f>
        <v>0</v>
      </c>
      <c r="X45">
        <f>INDEX($K$39:$S$69,ROWS($J$39:J45),MATCH($D$4,$K$37:$S$37,0))</f>
        <v>0</v>
      </c>
      <c r="Y45">
        <f>INDEX($K$39:$S$69,ROWS($J$39:J45),MATCH($D$4,$K$37:$S$37,0)+1)</f>
        <v>0</v>
      </c>
      <c r="Z45">
        <f t="shared" si="7"/>
        <v>0</v>
      </c>
      <c r="AA45">
        <f>TableAspect[[#This Row],[Total]]+(COUNTIFS($Z$39:Z45,Z45) - 1) * 0.000000001</f>
        <v>3.0000000000000004E-9</v>
      </c>
      <c r="AC45">
        <f>LARGE(TableAspect[UNIQUE],ROW()-ROW($AC$38))</f>
        <v>1.000000008</v>
      </c>
      <c r="AD45" t="str">
        <f>INDEX(TableAspect[Aspect],MATCH(AC45,TableAspect[UNIQUE],0))</f>
        <v>warranty service</v>
      </c>
      <c r="AE45">
        <f>INDEX(TableAspect[Positive],MATCH(AC45,TableAspect[UNIQUE],0))</f>
        <v>1</v>
      </c>
      <c r="AF45">
        <f>INDEX(TableAspect[Negative],MATCH(AC45,TableAspect[UNIQUE],0))</f>
        <v>0</v>
      </c>
      <c r="AG45">
        <f>INDEX(TableAspect[Neutral],MATCH(AC45,TableAspect[UNIQUE],0))</f>
        <v>0</v>
      </c>
      <c r="AH45">
        <f>INDEX(TableAspect[Total],MATCH(AC45,TableAspect[UNIQUE],0))</f>
        <v>1</v>
      </c>
      <c r="AL45" s="14" t="str">
        <f>IF(INDEX(calculation!AH41:$AH$69,calculation!$D$6)=0,"",INDEX(calculation!AD41:$AD$69,calculation!$D$6))</f>
        <v>service</v>
      </c>
      <c r="AM45" s="14">
        <f>IF(INDEX(calculation!AH41:$AH$69,calculation!$D$6)=0,"",INDEX(calculation!AE41:$AE$69,calculation!$D$6))</f>
        <v>4</v>
      </c>
      <c r="AN45" s="14">
        <f>IF(INDEX(calculation!AH41:$AH$69,calculation!$D$6)=0,"",INDEX(calculation!AF41:$AF$69,calculation!$D$6))</f>
        <v>1</v>
      </c>
      <c r="AO45" s="14">
        <f>IF(INDEX(calculation!AH41:$AH$69,calculation!$D$6)=0,"",INDEX(calculation!AG41:$AG$69,calculation!$D$6))</f>
        <v>3</v>
      </c>
      <c r="AP45" s="14">
        <f>IF(INDEX(calculation!AH41:$AH$69,calculation!$D$6)=0,"",INDEX(calculation!AH41:$AH$69,calculation!$D$6))</f>
        <v>8</v>
      </c>
    </row>
    <row r="46" spans="10:42" x14ac:dyDescent="0.3">
      <c r="J46" s="25" t="s">
        <v>214</v>
      </c>
      <c r="K46" s="25"/>
      <c r="L46" s="25"/>
      <c r="M46" s="25"/>
      <c r="N46" s="25">
        <v>1</v>
      </c>
      <c r="O46" s="25"/>
      <c r="P46" s="25">
        <v>1</v>
      </c>
      <c r="Q46" s="26"/>
      <c r="R46" s="25"/>
      <c r="S46" s="26"/>
      <c r="V46" t="str">
        <f t="shared" si="6"/>
        <v>one</v>
      </c>
      <c r="W46">
        <f>INDEX($K$39:$S$69,ROWS($J$39:J46),MATCH($D$4,$K$37:$S$37,0)+2)</f>
        <v>1</v>
      </c>
      <c r="X46">
        <f>INDEX($K$39:$S$69,ROWS($J$39:J46),MATCH($D$4,$K$37:$S$37,0))</f>
        <v>1</v>
      </c>
      <c r="Y46">
        <f>INDEX($K$39:$S$69,ROWS($J$39:J46),MATCH($D$4,$K$37:$S$37,0)+1)</f>
        <v>0</v>
      </c>
      <c r="Z46">
        <f t="shared" si="7"/>
        <v>2</v>
      </c>
      <c r="AA46">
        <f>TableAspect[[#This Row],[Total]]+(COUNTIFS($Z$39:Z46,Z46) - 1) * 0.000000001</f>
        <v>2</v>
      </c>
      <c r="AC46">
        <f>LARGE(TableAspect[UNIQUE],ROW()-ROW($AC$38))</f>
        <v>1.0000000069999999</v>
      </c>
      <c r="AD46" t="str">
        <f>INDEX(TableAspect[Aspect],MATCH(AC46,TableAspect[UNIQUE],0))</f>
        <v>warranty</v>
      </c>
      <c r="AE46">
        <f>INDEX(TableAspect[Positive],MATCH(AC46,TableAspect[UNIQUE],0))</f>
        <v>0</v>
      </c>
      <c r="AF46">
        <f>INDEX(TableAspect[Negative],MATCH(AC46,TableAspect[UNIQUE],0))</f>
        <v>1</v>
      </c>
      <c r="AG46">
        <f>INDEX(TableAspect[Neutral],MATCH(AC46,TableAspect[UNIQUE],0))</f>
        <v>0</v>
      </c>
      <c r="AH46">
        <f>INDEX(TableAspect[Total],MATCH(AC46,TableAspect[UNIQUE],0))</f>
        <v>1</v>
      </c>
      <c r="AL46" s="14" t="str">
        <f>IF(INDEX(calculation!AH42:$AH$69,calculation!$D$6)=0,"",INDEX(calculation!AD42:$AD$69,calculation!$D$6))</f>
        <v>variety</v>
      </c>
      <c r="AM46" s="14">
        <f>IF(INDEX(calculation!AH42:$AH$69,calculation!$D$6)=0,"",INDEX(calculation!AE42:$AE$69,calculation!$D$6))</f>
        <v>2</v>
      </c>
      <c r="AN46" s="14">
        <f>IF(INDEX(calculation!AH42:$AH$69,calculation!$D$6)=0,"",INDEX(calculation!AF42:$AF$69,calculation!$D$6))</f>
        <v>0</v>
      </c>
      <c r="AO46" s="14">
        <f>IF(INDEX(calculation!AH42:$AH$69,calculation!$D$6)=0,"",INDEX(calculation!AG42:$AG$69,calculation!$D$6))</f>
        <v>0</v>
      </c>
      <c r="AP46" s="14">
        <f>IF(INDEX(calculation!AH42:$AH$69,calculation!$D$6)=0,"",INDEX(calculation!AH42:$AH$69,calculation!$D$6))</f>
        <v>2</v>
      </c>
    </row>
    <row r="47" spans="10:42" x14ac:dyDescent="0.3">
      <c r="J47" s="25" t="s">
        <v>174</v>
      </c>
      <c r="K47" s="25"/>
      <c r="L47" s="25"/>
      <c r="M47" s="25"/>
      <c r="N47" s="25"/>
      <c r="O47" s="25">
        <v>1</v>
      </c>
      <c r="P47" s="25">
        <v>1</v>
      </c>
      <c r="Q47" s="26"/>
      <c r="R47" s="25">
        <v>6</v>
      </c>
      <c r="S47" s="26">
        <v>2</v>
      </c>
      <c r="V47" t="str">
        <f t="shared" si="6"/>
        <v>phone</v>
      </c>
      <c r="W47">
        <f>INDEX($K$39:$S$69,ROWS($J$39:J47),MATCH($D$4,$K$37:$S$37,0)+2)</f>
        <v>1</v>
      </c>
      <c r="X47">
        <f>INDEX($K$39:$S$69,ROWS($J$39:J47),MATCH($D$4,$K$37:$S$37,0))</f>
        <v>0</v>
      </c>
      <c r="Y47">
        <f>INDEX($K$39:$S$69,ROWS($J$39:J47),MATCH($D$4,$K$37:$S$37,0)+1)</f>
        <v>1</v>
      </c>
      <c r="Z47">
        <f t="shared" si="7"/>
        <v>2</v>
      </c>
      <c r="AA47">
        <f>TableAspect[[#This Row],[Total]]+(COUNTIFS($Z$39:Z47,Z47) - 1) * 0.000000001</f>
        <v>2.0000000010000001</v>
      </c>
      <c r="AC47">
        <f>LARGE(TableAspect[UNIQUE],ROW()-ROW($AC$38))</f>
        <v>1.0000000060000001</v>
      </c>
      <c r="AD47" t="str">
        <f>INDEX(TableAspect[Aspect],MATCH(AC47,TableAspect[UNIQUE],0))</f>
        <v>time</v>
      </c>
      <c r="AE47">
        <f>INDEX(TableAspect[Positive],MATCH(AC47,TableAspect[UNIQUE],0))</f>
        <v>0</v>
      </c>
      <c r="AF47">
        <f>INDEX(TableAspect[Negative],MATCH(AC47,TableAspect[UNIQUE],0))</f>
        <v>0</v>
      </c>
      <c r="AG47">
        <f>INDEX(TableAspect[Neutral],MATCH(AC47,TableAspect[UNIQUE],0))</f>
        <v>1</v>
      </c>
      <c r="AH47">
        <f>INDEX(TableAspect[Total],MATCH(AC47,TableAspect[UNIQUE],0))</f>
        <v>1</v>
      </c>
      <c r="AL47" s="14" t="str">
        <f>IF(INDEX(calculation!AH43:$AH$69,calculation!$D$6)=0,"",INDEX(calculation!AD43:$AD$69,calculation!$D$6))</f>
        <v>phone</v>
      </c>
      <c r="AM47" s="14">
        <f>IF(INDEX(calculation!AH43:$AH$69,calculation!$D$6)=0,"",INDEX(calculation!AE43:$AE$69,calculation!$D$6))</f>
        <v>1</v>
      </c>
      <c r="AN47" s="14">
        <f>IF(INDEX(calculation!AH43:$AH$69,calculation!$D$6)=0,"",INDEX(calculation!AF43:$AF$69,calculation!$D$6))</f>
        <v>0</v>
      </c>
      <c r="AO47" s="14">
        <f>IF(INDEX(calculation!AH43:$AH$69,calculation!$D$6)=0,"",INDEX(calculation!AG43:$AG$69,calculation!$D$6))</f>
        <v>1</v>
      </c>
      <c r="AP47" s="14">
        <f>IF(INDEX(calculation!AH43:$AH$69,calculation!$D$6)=0,"",INDEX(calculation!AH43:$AH$69,calculation!$D$6))</f>
        <v>2</v>
      </c>
    </row>
    <row r="48" spans="10:42" x14ac:dyDescent="0.3">
      <c r="J48" s="25" t="s">
        <v>305</v>
      </c>
      <c r="K48" s="25"/>
      <c r="L48" s="25"/>
      <c r="M48" s="25"/>
      <c r="N48" s="25"/>
      <c r="O48" s="25">
        <v>1</v>
      </c>
      <c r="P48" s="25"/>
      <c r="Q48" s="26"/>
      <c r="R48" s="25"/>
      <c r="S48" s="26"/>
      <c r="V48" t="str">
        <f t="shared" si="6"/>
        <v>phone plan</v>
      </c>
      <c r="W48">
        <f>INDEX($K$39:$S$69,ROWS($J$39:J48),MATCH($D$4,$K$37:$S$37,0)+2)</f>
        <v>0</v>
      </c>
      <c r="X48">
        <f>INDEX($K$39:$S$69,ROWS($J$39:J48),MATCH($D$4,$K$37:$S$37,0))</f>
        <v>0</v>
      </c>
      <c r="Y48">
        <f>INDEX($K$39:$S$69,ROWS($J$39:J48),MATCH($D$4,$K$37:$S$37,0)+1)</f>
        <v>1</v>
      </c>
      <c r="Z48">
        <f t="shared" si="7"/>
        <v>1</v>
      </c>
      <c r="AA48">
        <f>TableAspect[[#This Row],[Total]]+(COUNTIFS($Z$39:Z48,Z48) - 1) * 0.000000001</f>
        <v>1.000000003</v>
      </c>
      <c r="AC48">
        <f>LARGE(TableAspect[UNIQUE],ROW()-ROW($AC$38))</f>
        <v>1.000000005</v>
      </c>
      <c r="AD48" t="str">
        <f>INDEX(TableAspect[Aspect],MATCH(AC48,TableAspect[UNIQUE],0))</f>
        <v>return window</v>
      </c>
      <c r="AE48">
        <f>INDEX(TableAspect[Positive],MATCH(AC48,TableAspect[UNIQUE],0))</f>
        <v>0</v>
      </c>
      <c r="AF48">
        <f>INDEX(TableAspect[Negative],MATCH(AC48,TableAspect[UNIQUE],0))</f>
        <v>0</v>
      </c>
      <c r="AG48">
        <f>INDEX(TableAspect[Neutral],MATCH(AC48,TableAspect[UNIQUE],0))</f>
        <v>1</v>
      </c>
      <c r="AH48">
        <f>INDEX(TableAspect[Total],MATCH(AC48,TableAspect[UNIQUE],0))</f>
        <v>1</v>
      </c>
    </row>
    <row r="49" spans="10:34" x14ac:dyDescent="0.3">
      <c r="J49" s="25" t="s">
        <v>144</v>
      </c>
      <c r="K49" s="25"/>
      <c r="L49" s="25"/>
      <c r="M49" s="25"/>
      <c r="N49" s="25"/>
      <c r="O49" s="25"/>
      <c r="P49" s="25"/>
      <c r="Q49" s="26"/>
      <c r="R49" s="25"/>
      <c r="S49" s="26">
        <v>1</v>
      </c>
      <c r="V49" t="str">
        <f t="shared" si="6"/>
        <v>phones issue</v>
      </c>
      <c r="W49">
        <f>INDEX($K$39:$S$69,ROWS($J$39:J49),MATCH($D$4,$K$37:$S$37,0)+2)</f>
        <v>0</v>
      </c>
      <c r="X49">
        <f>INDEX($K$39:$S$69,ROWS($J$39:J49),MATCH($D$4,$K$37:$S$37,0))</f>
        <v>0</v>
      </c>
      <c r="Y49">
        <f>INDEX($K$39:$S$69,ROWS($J$39:J49),MATCH($D$4,$K$37:$S$37,0)+1)</f>
        <v>0</v>
      </c>
      <c r="Z49">
        <f t="shared" si="7"/>
        <v>0</v>
      </c>
      <c r="AA49">
        <f>TableAspect[[#This Row],[Total]]+(COUNTIFS($Z$39:Z49,Z49) - 1) * 0.000000001</f>
        <v>4.0000000000000002E-9</v>
      </c>
      <c r="AC49">
        <f>LARGE(TableAspect[UNIQUE],ROW()-ROW($AC$38))</f>
        <v>1.0000000040000001</v>
      </c>
      <c r="AD49" t="str">
        <f>INDEX(TableAspect[Aspect],MATCH(AC49,TableAspect[UNIQUE],0))</f>
        <v>policy</v>
      </c>
      <c r="AE49">
        <f>INDEX(TableAspect[Positive],MATCH(AC49,TableAspect[UNIQUE],0))</f>
        <v>0</v>
      </c>
      <c r="AF49">
        <f>INDEX(TableAspect[Negative],MATCH(AC49,TableAspect[UNIQUE],0))</f>
        <v>1</v>
      </c>
      <c r="AG49">
        <f>INDEX(TableAspect[Neutral],MATCH(AC49,TableAspect[UNIQUE],0))</f>
        <v>0</v>
      </c>
      <c r="AH49">
        <f>INDEX(TableAspect[Total],MATCH(AC49,TableAspect[UNIQUE],0))</f>
        <v>1</v>
      </c>
    </row>
    <row r="50" spans="10:34" x14ac:dyDescent="0.3">
      <c r="J50" s="25" t="s">
        <v>224</v>
      </c>
      <c r="K50" s="25"/>
      <c r="L50" s="25"/>
      <c r="M50" s="25"/>
      <c r="N50" s="25"/>
      <c r="O50" s="25"/>
      <c r="P50" s="25"/>
      <c r="Q50" s="26"/>
      <c r="R50" s="25"/>
      <c r="S50" s="26">
        <v>1</v>
      </c>
      <c r="V50" t="str">
        <f t="shared" si="6"/>
        <v>place</v>
      </c>
      <c r="W50">
        <f>INDEX($K$39:$S$69,ROWS($J$39:J50),MATCH($D$4,$K$37:$S$37,0)+2)</f>
        <v>0</v>
      </c>
      <c r="X50">
        <f>INDEX($K$39:$S$69,ROWS($J$39:J50),MATCH($D$4,$K$37:$S$37,0))</f>
        <v>0</v>
      </c>
      <c r="Y50">
        <f>INDEX($K$39:$S$69,ROWS($J$39:J50),MATCH($D$4,$K$37:$S$37,0)+1)</f>
        <v>0</v>
      </c>
      <c r="Z50">
        <f t="shared" si="7"/>
        <v>0</v>
      </c>
      <c r="AA50">
        <f>TableAspect[[#This Row],[Total]]+(COUNTIFS($Z$39:Z50,Z50) - 1) * 0.000000001</f>
        <v>5.0000000000000001E-9</v>
      </c>
      <c r="AC50">
        <f>LARGE(TableAspect[UNIQUE],ROW()-ROW($AC$38))</f>
        <v>1.000000003</v>
      </c>
      <c r="AD50" t="str">
        <f>INDEX(TableAspect[Aspect],MATCH(AC50,TableAspect[UNIQUE],0))</f>
        <v>phone plan</v>
      </c>
      <c r="AE50">
        <f>INDEX(TableAspect[Positive],MATCH(AC50,TableAspect[UNIQUE],0))</f>
        <v>0</v>
      </c>
      <c r="AF50">
        <f>INDEX(TableAspect[Negative],MATCH(AC50,TableAspect[UNIQUE],0))</f>
        <v>0</v>
      </c>
      <c r="AG50">
        <f>INDEX(TableAspect[Neutral],MATCH(AC50,TableAspect[UNIQUE],0))</f>
        <v>1</v>
      </c>
      <c r="AH50">
        <f>INDEX(TableAspect[Total],MATCH(AC50,TableAspect[UNIQUE],0))</f>
        <v>1</v>
      </c>
    </row>
    <row r="51" spans="10:34" x14ac:dyDescent="0.3">
      <c r="J51" s="25" t="s">
        <v>226</v>
      </c>
      <c r="K51" s="25"/>
      <c r="L51" s="25"/>
      <c r="M51" s="25">
        <v>1</v>
      </c>
      <c r="N51" s="25"/>
      <c r="O51" s="25"/>
      <c r="P51" s="25"/>
      <c r="Q51" s="26"/>
      <c r="R51" s="25"/>
      <c r="S51" s="26"/>
      <c r="V51" t="str">
        <f t="shared" si="6"/>
        <v>plan</v>
      </c>
      <c r="W51">
        <f>INDEX($K$39:$S$69,ROWS($J$39:J51),MATCH($D$4,$K$37:$S$37,0)+2)</f>
        <v>0</v>
      </c>
      <c r="X51">
        <f>INDEX($K$39:$S$69,ROWS($J$39:J51),MATCH($D$4,$K$37:$S$37,0))</f>
        <v>0</v>
      </c>
      <c r="Y51">
        <f>INDEX($K$39:$S$69,ROWS($J$39:J51),MATCH($D$4,$K$37:$S$37,0)+1)</f>
        <v>0</v>
      </c>
      <c r="Z51">
        <f t="shared" si="7"/>
        <v>0</v>
      </c>
      <c r="AA51">
        <f>TableAspect[[#This Row],[Total]]+(COUNTIFS($Z$39:Z51,Z51) - 1) * 0.000000001</f>
        <v>6.0000000000000008E-9</v>
      </c>
      <c r="AC51">
        <f>LARGE(TableAspect[UNIQUE],ROW()-ROW($AC$38))</f>
        <v>1.0000000019999999</v>
      </c>
      <c r="AD51" t="str">
        <f>INDEX(TableAspect[Aspect],MATCH(AC51,TableAspect[UNIQUE],0))</f>
        <v>layout</v>
      </c>
      <c r="AE51">
        <f>INDEX(TableAspect[Positive],MATCH(AC51,TableAspect[UNIQUE],0))</f>
        <v>1</v>
      </c>
      <c r="AF51">
        <f>INDEX(TableAspect[Negative],MATCH(AC51,TableAspect[UNIQUE],0))</f>
        <v>0</v>
      </c>
      <c r="AG51">
        <f>INDEX(TableAspect[Neutral],MATCH(AC51,TableAspect[UNIQUE],0))</f>
        <v>0</v>
      </c>
      <c r="AH51">
        <f>INDEX(TableAspect[Total],MATCH(AC51,TableAspect[UNIQUE],0))</f>
        <v>1</v>
      </c>
    </row>
    <row r="52" spans="10:34" x14ac:dyDescent="0.3">
      <c r="J52" s="25" t="s">
        <v>333</v>
      </c>
      <c r="K52" s="25"/>
      <c r="L52" s="25"/>
      <c r="M52" s="25"/>
      <c r="N52" s="25">
        <v>1</v>
      </c>
      <c r="O52" s="25"/>
      <c r="P52" s="25"/>
      <c r="Q52" s="26"/>
      <c r="R52" s="25"/>
      <c r="S52" s="26"/>
      <c r="V52" t="str">
        <f t="shared" si="6"/>
        <v>policy</v>
      </c>
      <c r="W52">
        <f>INDEX($K$39:$S$69,ROWS($J$39:J52),MATCH($D$4,$K$37:$S$37,0)+2)</f>
        <v>0</v>
      </c>
      <c r="X52">
        <f>INDEX($K$39:$S$69,ROWS($J$39:J52),MATCH($D$4,$K$37:$S$37,0))</f>
        <v>1</v>
      </c>
      <c r="Y52">
        <f>INDEX($K$39:$S$69,ROWS($J$39:J52),MATCH($D$4,$K$37:$S$37,0)+1)</f>
        <v>0</v>
      </c>
      <c r="Z52">
        <f t="shared" si="7"/>
        <v>1</v>
      </c>
      <c r="AA52">
        <f>TableAspect[[#This Row],[Total]]+(COUNTIFS($Z$39:Z52,Z52) - 1) * 0.000000001</f>
        <v>1.0000000040000001</v>
      </c>
      <c r="AC52">
        <f>LARGE(TableAspect[UNIQUE],ROW()-ROW($AC$38))</f>
        <v>1.0000000010000001</v>
      </c>
      <c r="AD52" t="str">
        <f>INDEX(TableAspect[Aspect],MATCH(AC52,TableAspect[UNIQUE],0))</f>
        <v>experience</v>
      </c>
      <c r="AE52">
        <f>INDEX(TableAspect[Positive],MATCH(AC52,TableAspect[UNIQUE],0))</f>
        <v>1</v>
      </c>
      <c r="AF52">
        <f>INDEX(TableAspect[Negative],MATCH(AC52,TableAspect[UNIQUE],0))</f>
        <v>0</v>
      </c>
      <c r="AG52">
        <f>INDEX(TableAspect[Neutral],MATCH(AC52,TableAspect[UNIQUE],0))</f>
        <v>0</v>
      </c>
      <c r="AH52">
        <f>INDEX(TableAspect[Total],MATCH(AC52,TableAspect[UNIQUE],0))</f>
        <v>1</v>
      </c>
    </row>
    <row r="53" spans="10:34" x14ac:dyDescent="0.3">
      <c r="J53" s="25" t="s">
        <v>126</v>
      </c>
      <c r="K53" s="25"/>
      <c r="L53" s="25"/>
      <c r="M53" s="25">
        <v>1</v>
      </c>
      <c r="N53" s="25"/>
      <c r="O53" s="25"/>
      <c r="P53" s="25"/>
      <c r="Q53" s="26"/>
      <c r="R53" s="25">
        <v>1</v>
      </c>
      <c r="S53" s="26">
        <v>1</v>
      </c>
      <c r="V53" t="str">
        <f t="shared" si="6"/>
        <v>price</v>
      </c>
      <c r="W53">
        <f>INDEX($K$39:$S$69,ROWS($J$39:J53),MATCH($D$4,$K$37:$S$37,0)+2)</f>
        <v>0</v>
      </c>
      <c r="X53">
        <f>INDEX($K$39:$S$69,ROWS($J$39:J53),MATCH($D$4,$K$37:$S$37,0))</f>
        <v>0</v>
      </c>
      <c r="Y53">
        <f>INDEX($K$39:$S$69,ROWS($J$39:J53),MATCH($D$4,$K$37:$S$37,0)+1)</f>
        <v>0</v>
      </c>
      <c r="Z53">
        <f t="shared" si="7"/>
        <v>0</v>
      </c>
      <c r="AA53">
        <f>TableAspect[[#This Row],[Total]]+(COUNTIFS($Z$39:Z53,Z53) - 1) * 0.000000001</f>
        <v>7.0000000000000006E-9</v>
      </c>
      <c r="AC53">
        <f>LARGE(TableAspect[UNIQUE],ROW()-ROW($AC$38))</f>
        <v>1</v>
      </c>
      <c r="AD53" t="str">
        <f>INDEX(TableAspect[Aspect],MATCH(AC53,TableAspect[UNIQUE],0))</f>
        <v>deal</v>
      </c>
      <c r="AE53">
        <f>INDEX(TableAspect[Positive],MATCH(AC53,TableAspect[UNIQUE],0))</f>
        <v>1</v>
      </c>
      <c r="AF53">
        <f>INDEX(TableAspect[Negative],MATCH(AC53,TableAspect[UNIQUE],0))</f>
        <v>0</v>
      </c>
      <c r="AG53">
        <f>INDEX(TableAspect[Neutral],MATCH(AC53,TableAspect[UNIQUE],0))</f>
        <v>0</v>
      </c>
      <c r="AH53">
        <f>INDEX(TableAspect[Total],MATCH(AC53,TableAspect[UNIQUE],0))</f>
        <v>1</v>
      </c>
    </row>
    <row r="54" spans="10:34" x14ac:dyDescent="0.3">
      <c r="J54" s="25" t="s">
        <v>118</v>
      </c>
      <c r="K54" s="25"/>
      <c r="L54" s="25"/>
      <c r="M54" s="25"/>
      <c r="N54" s="25"/>
      <c r="O54" s="25"/>
      <c r="P54" s="25"/>
      <c r="Q54" s="26"/>
      <c r="R54" s="25">
        <v>1</v>
      </c>
      <c r="S54" s="26">
        <v>1</v>
      </c>
      <c r="V54" t="str">
        <f t="shared" si="6"/>
        <v>process</v>
      </c>
      <c r="W54">
        <f>INDEX($K$39:$S$69,ROWS($J$39:J54),MATCH($D$4,$K$37:$S$37,0)+2)</f>
        <v>0</v>
      </c>
      <c r="X54">
        <f>INDEX($K$39:$S$69,ROWS($J$39:J54),MATCH($D$4,$K$37:$S$37,0))</f>
        <v>0</v>
      </c>
      <c r="Y54">
        <f>INDEX($K$39:$S$69,ROWS($J$39:J54),MATCH($D$4,$K$37:$S$37,0)+1)</f>
        <v>0</v>
      </c>
      <c r="Z54">
        <f t="shared" si="7"/>
        <v>0</v>
      </c>
      <c r="AA54">
        <f>TableAspect[[#This Row],[Total]]+(COUNTIFS($Z$39:Z54,Z54) - 1) * 0.000000001</f>
        <v>8.0000000000000005E-9</v>
      </c>
      <c r="AC54">
        <f>LARGE(TableAspect[UNIQUE],ROW()-ROW($AC$38))</f>
        <v>1.5000000000000002E-8</v>
      </c>
      <c r="AD54" t="str">
        <f>INDEX(TableAspect[Aspect],MATCH(AC54,TableAspect[UNIQUE],0))</f>
        <v>technician</v>
      </c>
      <c r="AE54">
        <f>INDEX(TableAspect[Positive],MATCH(AC54,TableAspect[UNIQUE],0))</f>
        <v>0</v>
      </c>
      <c r="AF54">
        <f>INDEX(TableAspect[Negative],MATCH(AC54,TableAspect[UNIQUE],0))</f>
        <v>0</v>
      </c>
      <c r="AG54">
        <f>INDEX(TableAspect[Neutral],MATCH(AC54,TableAspect[UNIQUE],0))</f>
        <v>0</v>
      </c>
      <c r="AH54">
        <f>INDEX(TableAspect[Total],MATCH(AC54,TableAspect[UNIQUE],0))</f>
        <v>0</v>
      </c>
    </row>
    <row r="55" spans="10:34" x14ac:dyDescent="0.3">
      <c r="J55" s="25" t="s">
        <v>133</v>
      </c>
      <c r="K55" s="25"/>
      <c r="L55" s="25">
        <v>1</v>
      </c>
      <c r="M55" s="25"/>
      <c r="N55" s="25"/>
      <c r="O55" s="25"/>
      <c r="P55" s="25"/>
      <c r="Q55" s="26"/>
      <c r="R55" s="25"/>
      <c r="S55" s="26"/>
      <c r="V55" t="str">
        <f t="shared" si="6"/>
        <v>question</v>
      </c>
      <c r="W55">
        <f>INDEX($K$39:$S$69,ROWS($J$39:J55),MATCH($D$4,$K$37:$S$37,0)+2)</f>
        <v>0</v>
      </c>
      <c r="X55">
        <f>INDEX($K$39:$S$69,ROWS($J$39:J55),MATCH($D$4,$K$37:$S$37,0))</f>
        <v>0</v>
      </c>
      <c r="Y55">
        <f>INDEX($K$39:$S$69,ROWS($J$39:J55),MATCH($D$4,$K$37:$S$37,0)+1)</f>
        <v>0</v>
      </c>
      <c r="Z55">
        <f t="shared" si="7"/>
        <v>0</v>
      </c>
      <c r="AA55">
        <f>TableAspect[[#This Row],[Total]]+(COUNTIFS($Z$39:Z55,Z55) - 1) * 0.000000001</f>
        <v>9.0000000000000012E-9</v>
      </c>
      <c r="AC55">
        <f>LARGE(TableAspect[UNIQUE],ROW()-ROW($AC$38))</f>
        <v>1.4000000000000001E-8</v>
      </c>
      <c r="AD55" t="str">
        <f>INDEX(TableAspect[Aspect],MATCH(AC55,TableAspect[UNIQUE],0))</f>
        <v>support</v>
      </c>
      <c r="AE55">
        <f>INDEX(TableAspect[Positive],MATCH(AC55,TableAspect[UNIQUE],0))</f>
        <v>0</v>
      </c>
      <c r="AF55">
        <f>INDEX(TableAspect[Negative],MATCH(AC55,TableAspect[UNIQUE],0))</f>
        <v>0</v>
      </c>
      <c r="AG55">
        <f>INDEX(TableAspect[Neutral],MATCH(AC55,TableAspect[UNIQUE],0))</f>
        <v>0</v>
      </c>
      <c r="AH55">
        <f>INDEX(TableAspect[Total],MATCH(AC55,TableAspect[UNIQUE],0))</f>
        <v>0</v>
      </c>
    </row>
    <row r="56" spans="10:34" x14ac:dyDescent="0.3">
      <c r="J56" s="25" t="s">
        <v>317</v>
      </c>
      <c r="K56" s="25"/>
      <c r="L56" s="25"/>
      <c r="M56" s="25"/>
      <c r="N56" s="25"/>
      <c r="O56" s="25"/>
      <c r="P56" s="25"/>
      <c r="Q56" s="26">
        <v>1</v>
      </c>
      <c r="R56" s="25"/>
      <c r="S56" s="26"/>
      <c r="V56" t="str">
        <f t="shared" si="6"/>
        <v>repair</v>
      </c>
      <c r="W56">
        <f>INDEX($K$39:$S$69,ROWS($J$39:J56),MATCH($D$4,$K$37:$S$37,0)+2)</f>
        <v>0</v>
      </c>
      <c r="X56">
        <f>INDEX($K$39:$S$69,ROWS($J$39:J56),MATCH($D$4,$K$37:$S$37,0))</f>
        <v>0</v>
      </c>
      <c r="Y56">
        <f>INDEX($K$39:$S$69,ROWS($J$39:J56),MATCH($D$4,$K$37:$S$37,0)+1)</f>
        <v>0</v>
      </c>
      <c r="Z56">
        <f t="shared" si="7"/>
        <v>0</v>
      </c>
      <c r="AA56">
        <f>TableAspect[[#This Row],[Total]]+(COUNTIFS($Z$39:Z56,Z56) - 1) * 0.000000001</f>
        <v>1E-8</v>
      </c>
      <c r="AC56">
        <f>LARGE(TableAspect[UNIQUE],ROW()-ROW($AC$38))</f>
        <v>1.3000000000000001E-8</v>
      </c>
      <c r="AD56" t="str">
        <f>INDEX(TableAspect[Aspect],MATCH(AC56,TableAspect[UNIQUE],0))</f>
        <v>selection</v>
      </c>
      <c r="AE56">
        <f>INDEX(TableAspect[Positive],MATCH(AC56,TableAspect[UNIQUE],0))</f>
        <v>0</v>
      </c>
      <c r="AF56">
        <f>INDEX(TableAspect[Negative],MATCH(AC56,TableAspect[UNIQUE],0))</f>
        <v>0</v>
      </c>
      <c r="AG56">
        <f>INDEX(TableAspect[Neutral],MATCH(AC56,TableAspect[UNIQUE],0))</f>
        <v>0</v>
      </c>
      <c r="AH56">
        <f>INDEX(TableAspect[Total],MATCH(AC56,TableAspect[UNIQUE],0))</f>
        <v>0</v>
      </c>
    </row>
    <row r="57" spans="10:34" x14ac:dyDescent="0.3">
      <c r="J57" s="25" t="s">
        <v>350</v>
      </c>
      <c r="K57" s="25"/>
      <c r="L57" s="25"/>
      <c r="M57" s="25"/>
      <c r="N57" s="25"/>
      <c r="O57" s="25"/>
      <c r="P57" s="25"/>
      <c r="Q57" s="26">
        <v>1</v>
      </c>
      <c r="R57" s="25"/>
      <c r="S57" s="26"/>
      <c r="V57" t="str">
        <f t="shared" si="6"/>
        <v>representative</v>
      </c>
      <c r="W57">
        <f>INDEX($K$39:$S$69,ROWS($J$39:J57),MATCH($D$4,$K$37:$S$37,0)+2)</f>
        <v>0</v>
      </c>
      <c r="X57">
        <f>INDEX($K$39:$S$69,ROWS($J$39:J57),MATCH($D$4,$K$37:$S$37,0))</f>
        <v>0</v>
      </c>
      <c r="Y57">
        <f>INDEX($K$39:$S$69,ROWS($J$39:J57),MATCH($D$4,$K$37:$S$37,0)+1)</f>
        <v>0</v>
      </c>
      <c r="Z57">
        <f t="shared" si="7"/>
        <v>0</v>
      </c>
      <c r="AA57">
        <f>TableAspect[[#This Row],[Total]]+(COUNTIFS($Z$39:Z57,Z57) - 1) * 0.000000001</f>
        <v>1.1000000000000001E-8</v>
      </c>
      <c r="AC57">
        <f>LARGE(TableAspect[UNIQUE],ROW()-ROW($AC$38))</f>
        <v>1.2000000000000002E-8</v>
      </c>
      <c r="AD57" t="str">
        <f>INDEX(TableAspect[Aspect],MATCH(AC57,TableAspect[UNIQUE],0))</f>
        <v>same issue</v>
      </c>
      <c r="AE57">
        <f>INDEX(TableAspect[Positive],MATCH(AC57,TableAspect[UNIQUE],0))</f>
        <v>0</v>
      </c>
      <c r="AF57">
        <f>INDEX(TableAspect[Negative],MATCH(AC57,TableAspect[UNIQUE],0))</f>
        <v>0</v>
      </c>
      <c r="AG57">
        <f>INDEX(TableAspect[Neutral],MATCH(AC57,TableAspect[UNIQUE],0))</f>
        <v>0</v>
      </c>
      <c r="AH57">
        <f>INDEX(TableAspect[Total],MATCH(AC57,TableAspect[UNIQUE],0))</f>
        <v>0</v>
      </c>
    </row>
    <row r="58" spans="10:34" x14ac:dyDescent="0.3">
      <c r="J58" s="25" t="s">
        <v>363</v>
      </c>
      <c r="K58" s="25"/>
      <c r="L58" s="25"/>
      <c r="M58" s="25"/>
      <c r="N58" s="25"/>
      <c r="O58" s="25">
        <v>1</v>
      </c>
      <c r="P58" s="25"/>
      <c r="Q58" s="26"/>
      <c r="R58" s="25"/>
      <c r="S58" s="26"/>
      <c r="V58" t="str">
        <f t="shared" si="6"/>
        <v>return window</v>
      </c>
      <c r="W58">
        <f>INDEX($K$39:$S$69,ROWS($J$39:J58),MATCH($D$4,$K$37:$S$37,0)+2)</f>
        <v>0</v>
      </c>
      <c r="X58">
        <f>INDEX($K$39:$S$69,ROWS($J$39:J58),MATCH($D$4,$K$37:$S$37,0))</f>
        <v>0</v>
      </c>
      <c r="Y58">
        <f>INDEX($K$39:$S$69,ROWS($J$39:J58),MATCH($D$4,$K$37:$S$37,0)+1)</f>
        <v>1</v>
      </c>
      <c r="Z58">
        <f t="shared" si="7"/>
        <v>1</v>
      </c>
      <c r="AA58">
        <f>TableAspect[[#This Row],[Total]]+(COUNTIFS($Z$39:Z58,Z58) - 1) * 0.000000001</f>
        <v>1.000000005</v>
      </c>
      <c r="AC58">
        <f>LARGE(TableAspect[UNIQUE],ROW()-ROW($AC$38))</f>
        <v>1.1000000000000001E-8</v>
      </c>
      <c r="AD58" t="str">
        <f>INDEX(TableAspect[Aspect],MATCH(AC58,TableAspect[UNIQUE],0))</f>
        <v>representative</v>
      </c>
      <c r="AE58">
        <f>INDEX(TableAspect[Positive],MATCH(AC58,TableAspect[UNIQUE],0))</f>
        <v>0</v>
      </c>
      <c r="AF58">
        <f>INDEX(TableAspect[Negative],MATCH(AC58,TableAspect[UNIQUE],0))</f>
        <v>0</v>
      </c>
      <c r="AG58">
        <f>INDEX(TableAspect[Neutral],MATCH(AC58,TableAspect[UNIQUE],0))</f>
        <v>0</v>
      </c>
      <c r="AH58">
        <f>INDEX(TableAspect[Total],MATCH(AC58,TableAspect[UNIQUE],0))</f>
        <v>0</v>
      </c>
    </row>
    <row r="59" spans="10:34" x14ac:dyDescent="0.3">
      <c r="J59" s="25" t="s">
        <v>326</v>
      </c>
      <c r="K59" s="25"/>
      <c r="L59" s="25"/>
      <c r="M59" s="25"/>
      <c r="N59" s="25"/>
      <c r="O59" s="25"/>
      <c r="P59" s="25"/>
      <c r="Q59" s="26"/>
      <c r="R59" s="25">
        <v>1</v>
      </c>
      <c r="S59" s="26"/>
      <c r="V59" t="str">
        <f t="shared" si="6"/>
        <v>same issue</v>
      </c>
      <c r="W59">
        <f>INDEX($K$39:$S$69,ROWS($J$39:J59),MATCH($D$4,$K$37:$S$37,0)+2)</f>
        <v>0</v>
      </c>
      <c r="X59">
        <f>INDEX($K$39:$S$69,ROWS($J$39:J59),MATCH($D$4,$K$37:$S$37,0))</f>
        <v>0</v>
      </c>
      <c r="Y59">
        <f>INDEX($K$39:$S$69,ROWS($J$39:J59),MATCH($D$4,$K$37:$S$37,0)+1)</f>
        <v>0</v>
      </c>
      <c r="Z59">
        <f t="shared" si="7"/>
        <v>0</v>
      </c>
      <c r="AA59">
        <f>TableAspect[[#This Row],[Total]]+(COUNTIFS($Z$39:Z59,Z59) - 1) * 0.000000001</f>
        <v>1.2000000000000002E-8</v>
      </c>
      <c r="AC59">
        <f>LARGE(TableAspect[UNIQUE],ROW()-ROW($AC$38))</f>
        <v>1E-8</v>
      </c>
      <c r="AD59" t="str">
        <f>INDEX(TableAspect[Aspect],MATCH(AC59,TableAspect[UNIQUE],0))</f>
        <v>repair</v>
      </c>
      <c r="AE59">
        <f>INDEX(TableAspect[Positive],MATCH(AC59,TableAspect[UNIQUE],0))</f>
        <v>0</v>
      </c>
      <c r="AF59">
        <f>INDEX(TableAspect[Negative],MATCH(AC59,TableAspect[UNIQUE],0))</f>
        <v>0</v>
      </c>
      <c r="AG59">
        <f>INDEX(TableAspect[Neutral],MATCH(AC59,TableAspect[UNIQUE],0))</f>
        <v>0</v>
      </c>
      <c r="AH59">
        <f>INDEX(TableAspect[Total],MATCH(AC59,TableAspect[UNIQUE],0))</f>
        <v>0</v>
      </c>
    </row>
    <row r="60" spans="10:34" x14ac:dyDescent="0.3">
      <c r="J60" s="25" t="s">
        <v>123</v>
      </c>
      <c r="K60" s="25"/>
      <c r="L60" s="25"/>
      <c r="M60" s="25"/>
      <c r="N60" s="25"/>
      <c r="O60" s="25"/>
      <c r="P60" s="25"/>
      <c r="Q60" s="26">
        <v>1</v>
      </c>
      <c r="R60" s="25">
        <v>1</v>
      </c>
      <c r="S60" s="26">
        <v>2</v>
      </c>
      <c r="V60" t="str">
        <f t="shared" si="6"/>
        <v>selection</v>
      </c>
      <c r="W60">
        <f>INDEX($K$39:$S$69,ROWS($J$39:J60),MATCH($D$4,$K$37:$S$37,0)+2)</f>
        <v>0</v>
      </c>
      <c r="X60">
        <f>INDEX($K$39:$S$69,ROWS($J$39:J60),MATCH($D$4,$K$37:$S$37,0))</f>
        <v>0</v>
      </c>
      <c r="Y60">
        <f>INDEX($K$39:$S$69,ROWS($J$39:J60),MATCH($D$4,$K$37:$S$37,0)+1)</f>
        <v>0</v>
      </c>
      <c r="Z60">
        <f t="shared" si="7"/>
        <v>0</v>
      </c>
      <c r="AA60">
        <f>TableAspect[[#This Row],[Total]]+(COUNTIFS($Z$39:Z60,Z60) - 1) * 0.000000001</f>
        <v>1.3000000000000001E-8</v>
      </c>
      <c r="AC60">
        <f>LARGE(TableAspect[UNIQUE],ROW()-ROW($AC$38))</f>
        <v>9.0000000000000012E-9</v>
      </c>
      <c r="AD60" t="str">
        <f>INDEX(TableAspect[Aspect],MATCH(AC60,TableAspect[UNIQUE],0))</f>
        <v>question</v>
      </c>
      <c r="AE60">
        <f>INDEX(TableAspect[Positive],MATCH(AC60,TableAspect[UNIQUE],0))</f>
        <v>0</v>
      </c>
      <c r="AF60">
        <f>INDEX(TableAspect[Negative],MATCH(AC60,TableAspect[UNIQUE],0))</f>
        <v>0</v>
      </c>
      <c r="AG60">
        <f>INDEX(TableAspect[Neutral],MATCH(AC60,TableAspect[UNIQUE],0))</f>
        <v>0</v>
      </c>
      <c r="AH60">
        <f>INDEX(TableAspect[Total],MATCH(AC60,TableAspect[UNIQUE],0))</f>
        <v>0</v>
      </c>
    </row>
    <row r="61" spans="10:34" x14ac:dyDescent="0.3">
      <c r="J61" s="25" t="s">
        <v>157</v>
      </c>
      <c r="K61" s="25">
        <v>1</v>
      </c>
      <c r="L61" s="25"/>
      <c r="M61" s="25">
        <v>1</v>
      </c>
      <c r="N61" s="25">
        <v>1</v>
      </c>
      <c r="O61" s="25">
        <v>3</v>
      </c>
      <c r="P61" s="25">
        <v>4</v>
      </c>
      <c r="Q61" s="26"/>
      <c r="R61" s="25">
        <v>1</v>
      </c>
      <c r="S61" s="26">
        <v>1</v>
      </c>
      <c r="V61" t="str">
        <f t="shared" si="6"/>
        <v>service</v>
      </c>
      <c r="W61">
        <f>INDEX($K$39:$S$69,ROWS($J$39:J61),MATCH($D$4,$K$37:$S$37,0)+2)</f>
        <v>4</v>
      </c>
      <c r="X61">
        <f>INDEX($K$39:$S$69,ROWS($J$39:J61),MATCH($D$4,$K$37:$S$37,0))</f>
        <v>1</v>
      </c>
      <c r="Y61">
        <f>INDEX($K$39:$S$69,ROWS($J$39:J61),MATCH($D$4,$K$37:$S$37,0)+1)</f>
        <v>3</v>
      </c>
      <c r="Z61">
        <f t="shared" si="7"/>
        <v>8</v>
      </c>
      <c r="AA61">
        <f>TableAspect[[#This Row],[Total]]+(COUNTIFS($Z$39:Z61,Z61) - 1) * 0.000000001</f>
        <v>8</v>
      </c>
      <c r="AC61">
        <f>LARGE(TableAspect[UNIQUE],ROW()-ROW($AC$38))</f>
        <v>8.0000000000000005E-9</v>
      </c>
      <c r="AD61" t="str">
        <f>INDEX(TableAspect[Aspect],MATCH(AC61,TableAspect[UNIQUE],0))</f>
        <v>process</v>
      </c>
      <c r="AE61">
        <f>INDEX(TableAspect[Positive],MATCH(AC61,TableAspect[UNIQUE],0))</f>
        <v>0</v>
      </c>
      <c r="AF61">
        <f>INDEX(TableAspect[Negative],MATCH(AC61,TableAspect[UNIQUE],0))</f>
        <v>0</v>
      </c>
      <c r="AG61">
        <f>INDEX(TableAspect[Neutral],MATCH(AC61,TableAspect[UNIQUE],0))</f>
        <v>0</v>
      </c>
      <c r="AH61">
        <f>INDEX(TableAspect[Total],MATCH(AC61,TableAspect[UNIQUE],0))</f>
        <v>0</v>
      </c>
    </row>
    <row r="62" spans="10:34" x14ac:dyDescent="0.3">
      <c r="J62" s="25" t="s">
        <v>112</v>
      </c>
      <c r="K62" s="25"/>
      <c r="L62" s="25">
        <v>9</v>
      </c>
      <c r="M62" s="25">
        <v>2</v>
      </c>
      <c r="N62" s="25">
        <v>2</v>
      </c>
      <c r="O62" s="25">
        <v>10</v>
      </c>
      <c r="P62" s="25">
        <v>6</v>
      </c>
      <c r="Q62" s="26"/>
      <c r="R62" s="25">
        <v>5</v>
      </c>
      <c r="S62" s="26">
        <v>3</v>
      </c>
      <c r="V62" t="str">
        <f t="shared" si="6"/>
        <v>staff</v>
      </c>
      <c r="W62">
        <f>INDEX($K$39:$S$69,ROWS($J$39:J62),MATCH($D$4,$K$37:$S$37,0)+2)</f>
        <v>6</v>
      </c>
      <c r="X62">
        <f>INDEX($K$39:$S$69,ROWS($J$39:J62),MATCH($D$4,$K$37:$S$37,0))</f>
        <v>2</v>
      </c>
      <c r="Y62">
        <f>INDEX($K$39:$S$69,ROWS($J$39:J62),MATCH($D$4,$K$37:$S$37,0)+1)</f>
        <v>10</v>
      </c>
      <c r="Z62">
        <f t="shared" si="7"/>
        <v>18</v>
      </c>
      <c r="AA62">
        <f>TableAspect[[#This Row],[Total]]+(COUNTIFS($Z$39:Z62,Z62) - 1) * 0.000000001</f>
        <v>18</v>
      </c>
      <c r="AC62">
        <f>LARGE(TableAspect[UNIQUE],ROW()-ROW($AC$38))</f>
        <v>7.0000000000000006E-9</v>
      </c>
      <c r="AD62" t="str">
        <f>INDEX(TableAspect[Aspect],MATCH(AC62,TableAspect[UNIQUE],0))</f>
        <v>price</v>
      </c>
      <c r="AE62">
        <f>INDEX(TableAspect[Positive],MATCH(AC62,TableAspect[UNIQUE],0))</f>
        <v>0</v>
      </c>
      <c r="AF62">
        <f>INDEX(TableAspect[Negative],MATCH(AC62,TableAspect[UNIQUE],0))</f>
        <v>0</v>
      </c>
      <c r="AG62">
        <f>INDEX(TableAspect[Neutral],MATCH(AC62,TableAspect[UNIQUE],0))</f>
        <v>0</v>
      </c>
      <c r="AH62">
        <f>INDEX(TableAspect[Total],MATCH(AC62,TableAspect[UNIQUE],0))</f>
        <v>0</v>
      </c>
    </row>
    <row r="63" spans="10:34" x14ac:dyDescent="0.3">
      <c r="J63" s="25" t="s">
        <v>182</v>
      </c>
      <c r="K63" s="25">
        <v>3</v>
      </c>
      <c r="L63" s="25">
        <v>7</v>
      </c>
      <c r="M63" s="25">
        <v>2</v>
      </c>
      <c r="N63" s="25"/>
      <c r="O63" s="25">
        <v>7</v>
      </c>
      <c r="P63" s="25">
        <v>6</v>
      </c>
      <c r="Q63" s="26"/>
      <c r="R63" s="25">
        <v>6</v>
      </c>
      <c r="S63" s="26">
        <v>5</v>
      </c>
      <c r="V63" t="str">
        <f t="shared" si="6"/>
        <v>store</v>
      </c>
      <c r="W63">
        <f>INDEX($K$39:$S$69,ROWS($J$39:J63),MATCH($D$4,$K$37:$S$37,0)+2)</f>
        <v>6</v>
      </c>
      <c r="X63">
        <f>INDEX($K$39:$S$69,ROWS($J$39:J63),MATCH($D$4,$K$37:$S$37,0))</f>
        <v>0</v>
      </c>
      <c r="Y63">
        <f>INDEX($K$39:$S$69,ROWS($J$39:J63),MATCH($D$4,$K$37:$S$37,0)+1)</f>
        <v>7</v>
      </c>
      <c r="Z63">
        <f t="shared" si="7"/>
        <v>13</v>
      </c>
      <c r="AA63">
        <f>TableAspect[[#This Row],[Total]]+(COUNTIFS($Z$39:Z63,Z63) - 1) * 0.000000001</f>
        <v>13</v>
      </c>
      <c r="AC63">
        <f>LARGE(TableAspect[UNIQUE],ROW()-ROW($AC$38))</f>
        <v>6.0000000000000008E-9</v>
      </c>
      <c r="AD63" t="str">
        <f>INDEX(TableAspect[Aspect],MATCH(AC63,TableAspect[UNIQUE],0))</f>
        <v>plan</v>
      </c>
      <c r="AE63">
        <f>INDEX(TableAspect[Positive],MATCH(AC63,TableAspect[UNIQUE],0))</f>
        <v>0</v>
      </c>
      <c r="AF63">
        <f>INDEX(TableAspect[Negative],MATCH(AC63,TableAspect[UNIQUE],0))</f>
        <v>0</v>
      </c>
      <c r="AG63">
        <f>INDEX(TableAspect[Neutral],MATCH(AC63,TableAspect[UNIQUE],0))</f>
        <v>0</v>
      </c>
      <c r="AH63">
        <f>INDEX(TableAspect[Total],MATCH(AC63,TableAspect[UNIQUE],0))</f>
        <v>0</v>
      </c>
    </row>
    <row r="64" spans="10:34" x14ac:dyDescent="0.3">
      <c r="J64" s="25" t="s">
        <v>360</v>
      </c>
      <c r="K64" s="25"/>
      <c r="L64" s="25"/>
      <c r="M64" s="25"/>
      <c r="N64" s="25"/>
      <c r="O64" s="25"/>
      <c r="P64" s="25"/>
      <c r="Q64" s="26"/>
      <c r="R64" s="25">
        <v>1</v>
      </c>
      <c r="S64" s="26"/>
      <c r="V64" t="str">
        <f t="shared" si="6"/>
        <v>support</v>
      </c>
      <c r="W64">
        <f>INDEX($K$39:$S$69,ROWS($J$39:J64),MATCH($D$4,$K$37:$S$37,0)+2)</f>
        <v>0</v>
      </c>
      <c r="X64">
        <f>INDEX($K$39:$S$69,ROWS($J$39:J64),MATCH($D$4,$K$37:$S$37,0))</f>
        <v>0</v>
      </c>
      <c r="Y64">
        <f>INDEX($K$39:$S$69,ROWS($J$39:J64),MATCH($D$4,$K$37:$S$37,0)+1)</f>
        <v>0</v>
      </c>
      <c r="Z64">
        <f t="shared" si="7"/>
        <v>0</v>
      </c>
      <c r="AA64">
        <f>TableAspect[[#This Row],[Total]]+(COUNTIFS($Z$39:Z64,Z64) - 1) * 0.000000001</f>
        <v>1.4000000000000001E-8</v>
      </c>
      <c r="AC64">
        <f>LARGE(TableAspect[UNIQUE],ROW()-ROW($AC$38))</f>
        <v>5.0000000000000001E-9</v>
      </c>
      <c r="AD64" t="str">
        <f>INDEX(TableAspect[Aspect],MATCH(AC64,TableAspect[UNIQUE],0))</f>
        <v>place</v>
      </c>
      <c r="AE64">
        <f>INDEX(TableAspect[Positive],MATCH(AC64,TableAspect[UNIQUE],0))</f>
        <v>0</v>
      </c>
      <c r="AF64">
        <f>INDEX(TableAspect[Negative],MATCH(AC64,TableAspect[UNIQUE],0))</f>
        <v>0</v>
      </c>
      <c r="AG64">
        <f>INDEX(TableAspect[Neutral],MATCH(AC64,TableAspect[UNIQUE],0))</f>
        <v>0</v>
      </c>
      <c r="AH64">
        <f>INDEX(TableAspect[Total],MATCH(AC64,TableAspect[UNIQUE],0))</f>
        <v>0</v>
      </c>
    </row>
    <row r="65" spans="10:34" x14ac:dyDescent="0.3">
      <c r="J65" s="25" t="s">
        <v>140</v>
      </c>
      <c r="K65" s="25"/>
      <c r="L65" s="25"/>
      <c r="M65" s="25"/>
      <c r="N65" s="25"/>
      <c r="O65" s="25"/>
      <c r="P65" s="25"/>
      <c r="Q65" s="26"/>
      <c r="R65" s="25">
        <v>1</v>
      </c>
      <c r="S65" s="26">
        <v>1</v>
      </c>
      <c r="V65" t="str">
        <f t="shared" si="6"/>
        <v>technician</v>
      </c>
      <c r="W65">
        <f>INDEX($K$39:$S$69,ROWS($J$39:J65),MATCH($D$4,$K$37:$S$37,0)+2)</f>
        <v>0</v>
      </c>
      <c r="X65">
        <f>INDEX($K$39:$S$69,ROWS($J$39:J65),MATCH($D$4,$K$37:$S$37,0))</f>
        <v>0</v>
      </c>
      <c r="Y65">
        <f>INDEX($K$39:$S$69,ROWS($J$39:J65),MATCH($D$4,$K$37:$S$37,0)+1)</f>
        <v>0</v>
      </c>
      <c r="Z65">
        <f t="shared" si="7"/>
        <v>0</v>
      </c>
      <c r="AA65">
        <f>TableAspect[[#This Row],[Total]]+(COUNTIFS($Z$39:Z65,Z65) - 1) * 0.000000001</f>
        <v>1.5000000000000002E-8</v>
      </c>
      <c r="AC65">
        <f>LARGE(TableAspect[UNIQUE],ROW()-ROW($AC$38))</f>
        <v>4.0000000000000002E-9</v>
      </c>
      <c r="AD65" t="str">
        <f>INDEX(TableAspect[Aspect],MATCH(AC65,TableAspect[UNIQUE],0))</f>
        <v>phones issue</v>
      </c>
      <c r="AE65">
        <f>INDEX(TableAspect[Positive],MATCH(AC65,TableAspect[UNIQUE],0))</f>
        <v>0</v>
      </c>
      <c r="AF65">
        <f>INDEX(TableAspect[Negative],MATCH(AC65,TableAspect[UNIQUE],0))</f>
        <v>0</v>
      </c>
      <c r="AG65">
        <f>INDEX(TableAspect[Neutral],MATCH(AC65,TableAspect[UNIQUE],0))</f>
        <v>0</v>
      </c>
      <c r="AH65">
        <f>INDEX(TableAspect[Total],MATCH(AC65,TableAspect[UNIQUE],0))</f>
        <v>0</v>
      </c>
    </row>
    <row r="66" spans="10:34" x14ac:dyDescent="0.3">
      <c r="J66" s="25" t="s">
        <v>221</v>
      </c>
      <c r="K66" s="25"/>
      <c r="L66" s="25"/>
      <c r="M66" s="25"/>
      <c r="N66" s="25"/>
      <c r="O66" s="25">
        <v>1</v>
      </c>
      <c r="P66" s="25"/>
      <c r="Q66" s="26"/>
      <c r="R66" s="25"/>
      <c r="S66" s="26"/>
      <c r="V66" t="str">
        <f t="shared" si="6"/>
        <v>time</v>
      </c>
      <c r="W66">
        <f>INDEX($K$39:$S$69,ROWS($J$39:J66),MATCH($D$4,$K$37:$S$37,0)+2)</f>
        <v>0</v>
      </c>
      <c r="X66">
        <f>INDEX($K$39:$S$69,ROWS($J$39:J66),MATCH($D$4,$K$37:$S$37,0))</f>
        <v>0</v>
      </c>
      <c r="Y66">
        <f>INDEX($K$39:$S$69,ROWS($J$39:J66),MATCH($D$4,$K$37:$S$37,0)+1)</f>
        <v>1</v>
      </c>
      <c r="Z66">
        <f t="shared" si="7"/>
        <v>1</v>
      </c>
      <c r="AA66">
        <f>TableAspect[[#This Row],[Total]]+(COUNTIFS($Z$39:Z66,Z66) - 1) * 0.000000001</f>
        <v>1.0000000060000001</v>
      </c>
      <c r="AC66">
        <f>LARGE(TableAspect[UNIQUE],ROW()-ROW($AC$38))</f>
        <v>3.0000000000000004E-9</v>
      </c>
      <c r="AD66" t="str">
        <f>INDEX(TableAspect[Aspect],MATCH(AC66,TableAspect[UNIQUE],0))</f>
        <v>long lines</v>
      </c>
      <c r="AE66">
        <f>INDEX(TableAspect[Positive],MATCH(AC66,TableAspect[UNIQUE],0))</f>
        <v>0</v>
      </c>
      <c r="AF66">
        <f>INDEX(TableAspect[Negative],MATCH(AC66,TableAspect[UNIQUE],0))</f>
        <v>0</v>
      </c>
      <c r="AG66">
        <f>INDEX(TableAspect[Neutral],MATCH(AC66,TableAspect[UNIQUE],0))</f>
        <v>0</v>
      </c>
      <c r="AH66">
        <f>INDEX(TableAspect[Total],MATCH(AC66,TableAspect[UNIQUE],0))</f>
        <v>0</v>
      </c>
    </row>
    <row r="67" spans="10:34" x14ac:dyDescent="0.3">
      <c r="J67" s="25" t="s">
        <v>148</v>
      </c>
      <c r="K67" s="25"/>
      <c r="L67" s="25">
        <v>1</v>
      </c>
      <c r="M67" s="25"/>
      <c r="N67" s="25"/>
      <c r="O67" s="25"/>
      <c r="P67" s="25">
        <v>2</v>
      </c>
      <c r="Q67" s="26"/>
      <c r="R67" s="25"/>
      <c r="S67" s="26"/>
      <c r="V67" t="str">
        <f t="shared" si="6"/>
        <v>variety</v>
      </c>
      <c r="W67">
        <f>INDEX($K$39:$S$69,ROWS($J$39:J67),MATCH($D$4,$K$37:$S$37,0)+2)</f>
        <v>2</v>
      </c>
      <c r="X67">
        <f>INDEX($K$39:$S$69,ROWS($J$39:J67),MATCH($D$4,$K$37:$S$37,0))</f>
        <v>0</v>
      </c>
      <c r="Y67">
        <f>INDEX($K$39:$S$69,ROWS($J$39:J67),MATCH($D$4,$K$37:$S$37,0)+1)</f>
        <v>0</v>
      </c>
      <c r="Z67">
        <f t="shared" si="7"/>
        <v>2</v>
      </c>
      <c r="AA67" s="17">
        <f>TableAspect[[#This Row],[Total]]+(COUNTIFS($Z$39:Z67,Z67) - 1) * 0.000000001</f>
        <v>2.0000000020000002</v>
      </c>
      <c r="AC67">
        <f>LARGE(TableAspect[UNIQUE],ROW()-ROW($AC$38))</f>
        <v>2.0000000000000001E-9</v>
      </c>
      <c r="AD67" t="str">
        <f>INDEX(TableAspect[Aspect],MATCH(AC67,TableAspect[UNIQUE],0))</f>
        <v>job</v>
      </c>
      <c r="AE67">
        <f>INDEX(TableAspect[Positive],MATCH(AC67,TableAspect[UNIQUE],0))</f>
        <v>0</v>
      </c>
      <c r="AF67">
        <f>INDEX(TableAspect[Negative],MATCH(AC67,TableAspect[UNIQUE],0))</f>
        <v>0</v>
      </c>
      <c r="AG67">
        <f>INDEX(TableAspect[Neutral],MATCH(AC67,TableAspect[UNIQUE],0))</f>
        <v>0</v>
      </c>
      <c r="AH67">
        <f>INDEX(TableAspect[Total],MATCH(AC67,TableAspect[UNIQUE],0))</f>
        <v>0</v>
      </c>
    </row>
    <row r="68" spans="10:34" x14ac:dyDescent="0.3">
      <c r="J68" s="25" t="s">
        <v>306</v>
      </c>
      <c r="K68" s="25"/>
      <c r="L68" s="25"/>
      <c r="M68" s="25"/>
      <c r="N68" s="25">
        <v>1</v>
      </c>
      <c r="O68" s="25"/>
      <c r="P68" s="25"/>
      <c r="Q68" s="26"/>
      <c r="R68" s="25">
        <v>1</v>
      </c>
      <c r="S68" s="26"/>
      <c r="V68" t="str">
        <f t="shared" si="6"/>
        <v>warranty</v>
      </c>
      <c r="W68">
        <f>INDEX($K$39:$S$69,ROWS($J$39:J68),MATCH($D$4,$K$37:$S$37,0)+2)</f>
        <v>0</v>
      </c>
      <c r="X68">
        <f>INDEX($K$39:$S$69,ROWS($J$39:J68),MATCH($D$4,$K$37:$S$37,0))</f>
        <v>1</v>
      </c>
      <c r="Y68">
        <f>INDEX($K$39:$S$69,ROWS($J$39:J68),MATCH($D$4,$K$37:$S$37,0)+1)</f>
        <v>0</v>
      </c>
      <c r="Z68">
        <f t="shared" si="7"/>
        <v>1</v>
      </c>
      <c r="AA68">
        <f>TableAspect[[#This Row],[Total]]+(COUNTIFS($Z$39:Z68,Z68) - 1) * 0.000000001</f>
        <v>1.0000000069999999</v>
      </c>
      <c r="AC68">
        <f>LARGE(TableAspect[UNIQUE],ROW()-ROW($AC$38))</f>
        <v>1.0000000000000001E-9</v>
      </c>
      <c r="AD68" t="str">
        <f>INDEX(TableAspect[Aspect],MATCH(AC68,TableAspect[UNIQUE],0))</f>
        <v>fixing</v>
      </c>
      <c r="AE68">
        <f>INDEX(TableAspect[Positive],MATCH(AC68,TableAspect[UNIQUE],0))</f>
        <v>0</v>
      </c>
      <c r="AF68">
        <f>INDEX(TableAspect[Negative],MATCH(AC68,TableAspect[UNIQUE],0))</f>
        <v>0</v>
      </c>
      <c r="AG68">
        <f>INDEX(TableAspect[Neutral],MATCH(AC68,TableAspect[UNIQUE],0))</f>
        <v>0</v>
      </c>
      <c r="AH68">
        <f>INDEX(TableAspect[Total],MATCH(AC68,TableAspect[UNIQUE],0))</f>
        <v>0</v>
      </c>
    </row>
    <row r="69" spans="10:34" x14ac:dyDescent="0.3">
      <c r="J69" s="25" t="s">
        <v>197</v>
      </c>
      <c r="K69" s="25"/>
      <c r="L69" s="25"/>
      <c r="M69" s="25"/>
      <c r="N69" s="25"/>
      <c r="O69" s="25"/>
      <c r="P69" s="25">
        <v>1</v>
      </c>
      <c r="Q69" s="26"/>
      <c r="R69" s="25"/>
      <c r="S69" s="26"/>
      <c r="V69" t="str">
        <f t="shared" si="6"/>
        <v>warranty service</v>
      </c>
      <c r="W69">
        <f>INDEX($K$39:$S$69,ROWS($J$39:J69),MATCH($D$4,$K$37:$S$37,0)+2)</f>
        <v>1</v>
      </c>
      <c r="X69">
        <f>INDEX($K$39:$S$69,ROWS($J$39:J69),MATCH($D$4,$K$37:$S$37,0))</f>
        <v>0</v>
      </c>
      <c r="Y69">
        <f>INDEX($K$39:$S$69,ROWS($J$39:J69),MATCH($D$4,$K$37:$S$37,0)+1)</f>
        <v>0</v>
      </c>
      <c r="Z69">
        <f t="shared" si="7"/>
        <v>1</v>
      </c>
      <c r="AA69">
        <f>TableAspect[[#This Row],[Total]]+(COUNTIFS($Z$39:Z69,Z69) - 1) * 0.000000001</f>
        <v>1.000000008</v>
      </c>
      <c r="AC69">
        <f>LARGE(TableAspect[UNIQUE],ROW()-ROW($AC$38))</f>
        <v>0</v>
      </c>
      <c r="AD69" t="str">
        <f>INDEX(TableAspect[Aspect],MATCH(AC69,TableAspect[UNIQUE],0))</f>
        <v>buying</v>
      </c>
      <c r="AE69">
        <f>INDEX(TableAspect[Positive],MATCH(AC69,TableAspect[UNIQUE],0))</f>
        <v>0</v>
      </c>
      <c r="AF69">
        <f>INDEX(TableAspect[Negative],MATCH(AC69,TableAspect[UNIQUE],0))</f>
        <v>0</v>
      </c>
      <c r="AG69">
        <f>INDEX(TableAspect[Neutral],MATCH(AC69,TableAspect[UNIQUE],0))</f>
        <v>0</v>
      </c>
      <c r="AH69">
        <f>INDEX(TableAspect[Total],MATCH(AC69,TableAspect[UNIQUE],0))</f>
        <v>0</v>
      </c>
    </row>
    <row r="70" spans="10:34" x14ac:dyDescent="0.3">
      <c r="U70" s="2"/>
    </row>
    <row r="71" spans="10:34" x14ac:dyDescent="0.3">
      <c r="U71" s="2"/>
    </row>
    <row r="72" spans="10:34" x14ac:dyDescent="0.3">
      <c r="J72" s="3" t="s">
        <v>458</v>
      </c>
      <c r="K72" s="4"/>
      <c r="L72" s="4"/>
      <c r="M72" s="4"/>
      <c r="U72" s="2"/>
    </row>
    <row r="73" spans="10:34" x14ac:dyDescent="0.3">
      <c r="J73"/>
      <c r="U73" s="2"/>
    </row>
    <row r="74" spans="10:34" x14ac:dyDescent="0.3">
      <c r="J74"/>
      <c r="U74" s="2"/>
    </row>
    <row r="75" spans="10:34" x14ac:dyDescent="0.3">
      <c r="J75" s="12" t="s">
        <v>565</v>
      </c>
      <c r="K75" s="12" t="s">
        <v>566</v>
      </c>
      <c r="L75" s="12" t="s">
        <v>0</v>
      </c>
      <c r="M75" s="12" t="s">
        <v>5</v>
      </c>
      <c r="N75" s="12" t="s">
        <v>1</v>
      </c>
      <c r="O75" s="12" t="s">
        <v>4</v>
      </c>
      <c r="U75" s="2"/>
    </row>
    <row r="76" spans="10:34" ht="43.2" x14ac:dyDescent="0.3">
      <c r="J76" s="13">
        <f>ROW(INDEX(Table1[id],MATCH(calculation!$D$4,Table1[topic_dominant],0))) + ROWS($J$75:J75) - 1</f>
        <v>23</v>
      </c>
      <c r="K76" s="13">
        <f>COLUMN(INDEX(Table1[id],MATCH(calculation!$D$4,Table1[topic_dominant],0)))</f>
        <v>1</v>
      </c>
      <c r="L76" s="13">
        <f t="shared" ref="L76:L95" ca="1" si="8">INDIRECT("database!"&amp;ADDRESS(J76,K76))</f>
        <v>57</v>
      </c>
      <c r="M76" s="13">
        <f ca="1">INDEX(Table1[topic_dominant],MATCH($L76,Table1[id],0))</f>
        <v>2</v>
      </c>
      <c r="N76" s="13" t="str">
        <f ca="1">INDEX(Table1[review],MATCH($L76,Table1[id],0))</f>
        <v>I always leave this store feeling like I made the right purchase.</v>
      </c>
      <c r="O76" s="13" t="str">
        <f ca="1">INDEX(Table1[aspect_based_sentiment],MATCH($L76,Table1[id],0))</f>
        <v xml:space="preserve">● staff - leave : Neutral
● staff - make : Positive
</v>
      </c>
      <c r="V76" s="12" t="s">
        <v>460</v>
      </c>
      <c r="W76" s="12" t="s">
        <v>461</v>
      </c>
    </row>
    <row r="77" spans="10:34" ht="43.2" x14ac:dyDescent="0.3">
      <c r="J77" s="13">
        <f>ROW(INDEX(Table1[id],MATCH(calculation!$D$4,Table1[topic_dominant],0))) + ROWS($J$75:J76) - 1</f>
        <v>24</v>
      </c>
      <c r="K77" s="13">
        <f>COLUMN(INDEX(Table1[id],MATCH(calculation!$D$4,Table1[topic_dominant],0)))</f>
        <v>1</v>
      </c>
      <c r="L77" s="13">
        <f t="shared" ca="1" si="8"/>
        <v>69</v>
      </c>
      <c r="M77" s="13">
        <f ca="1">INDEX(Table1[topic_dominant],MATCH($L77,Table1[id],0))</f>
        <v>2</v>
      </c>
      <c r="N77" s="13" t="str">
        <f ca="1">INDEX(Table1[review],MATCH($L77,Table1[id],0))</f>
        <v>Staff seemed untrained and gave me incorrect information about the phone plan.</v>
      </c>
      <c r="O77" s="13" t="str">
        <f ca="1">INDEX(Table1[aspect_based_sentiment],MATCH($L77,Table1[id],0))</f>
        <v xml:space="preserve">● phone plan - give : Neutral
</v>
      </c>
      <c r="V77" s="13" t="str">
        <f ca="1">IF(INDEX(calculation!M76:$M$95,calculation!$D$5)=calculation!$D$4,INDEX(calculation!N76:$N$95,calculation!$D$5),"")</f>
        <v>I always leave this store feeling like I made the right purchase.</v>
      </c>
      <c r="W77" s="13" t="str">
        <f ca="1">IF(INDEX(calculation!M76:$M$95,calculation!$D$5)=calculation!$D$4,INDEX(calculation!O76:$O$95,calculation!$D$5),"")</f>
        <v xml:space="preserve">● staff - leave : Neutral
● staff - make : Positive
</v>
      </c>
    </row>
    <row r="78" spans="10:34" ht="57.6" x14ac:dyDescent="0.3">
      <c r="J78" s="13">
        <f>ROW(INDEX(Table1[id],MATCH(calculation!$D$4,Table1[topic_dominant],0))) + ROWS($J$75:J77) - 1</f>
        <v>25</v>
      </c>
      <c r="K78" s="13">
        <f>COLUMN(INDEX(Table1[id],MATCH(calculation!$D$4,Table1[topic_dominant],0)))</f>
        <v>1</v>
      </c>
      <c r="L78" s="13">
        <f t="shared" ca="1" si="8"/>
        <v>4</v>
      </c>
      <c r="M78" s="13">
        <f ca="1">INDEX(Table1[topic_dominant],MATCH($L78,Table1[id],0))</f>
        <v>2</v>
      </c>
      <c r="N78" s="13" t="str">
        <f ca="1">INDEX(Table1[review],MATCH($L78,Table1[id],0))</f>
        <v>I appreciate how the staff walked me through setting up my new device.</v>
      </c>
      <c r="O78" s="13" t="str">
        <f ca="1">INDEX(Table1[aspect_based_sentiment],MATCH($L78,Table1[id],0))</f>
        <v xml:space="preserve">● staff - appreciate, walk : Neutral
● staff - appreciate, walk : Positive
</v>
      </c>
      <c r="V78" s="13" t="str">
        <f ca="1">IF(INDEX(calculation!M77:$M$95,calculation!$D$5)=calculation!$D$4,INDEX(calculation!N77:$N$95,calculation!$D$5),"")</f>
        <v>Staff seemed untrained and gave me incorrect information about the phone plan.</v>
      </c>
      <c r="W78" s="13" t="str">
        <f ca="1">IF(INDEX(calculation!M77:$M$95,calculation!$D$5)=calculation!$D$4,INDEX(calculation!O77:$O$95,calculation!$D$5),"")</f>
        <v xml:space="preserve">● phone plan - give : Neutral
</v>
      </c>
    </row>
    <row r="79" spans="10:34" ht="72" x14ac:dyDescent="0.3">
      <c r="J79" s="13">
        <f>ROW(INDEX(Table1[id],MATCH(calculation!$D$4,Table1[topic_dominant],0))) + ROWS($J$75:J78) - 1</f>
        <v>26</v>
      </c>
      <c r="K79" s="13">
        <f>COLUMN(INDEX(Table1[id],MATCH(calculation!$D$4,Table1[topic_dominant],0)))</f>
        <v>1</v>
      </c>
      <c r="L79" s="13">
        <f t="shared" ca="1" si="8"/>
        <v>37</v>
      </c>
      <c r="M79" s="13">
        <f ca="1">INDEX(Table1[topic_dominant],MATCH($L79,Table1[id],0))</f>
        <v>2</v>
      </c>
      <c r="N79" s="13" t="str">
        <f ca="1">INDEX(Table1[review],MATCH($L79,Table1[id],0))</f>
        <v>I’ve been to many phone stores, but this one by far provides the best service.</v>
      </c>
      <c r="O79" s="13" t="str">
        <f ca="1">INDEX(Table1[aspect_based_sentiment],MATCH($L79,Table1[id],0))</f>
        <v xml:space="preserve">● one - provide : Positive
</v>
      </c>
      <c r="V79" s="13" t="str">
        <f ca="1">IF(INDEX(calculation!M78:$M$95,calculation!$D$5)=calculation!$D$4,INDEX(calculation!N78:$N$95,calculation!$D$5),"")</f>
        <v>I appreciate how the staff walked me through setting up my new device.</v>
      </c>
      <c r="W79" s="13" t="str">
        <f ca="1">IF(INDEX(calculation!M78:$M$95,calculation!$D$5)=calculation!$D$4,INDEX(calculation!O78:$O$95,calculation!$D$5),"")</f>
        <v xml:space="preserve">● staff - appreciate, walk : Neutral
● staff - appreciate, walk : Positive
</v>
      </c>
    </row>
    <row r="80" spans="10:34" ht="43.2" x14ac:dyDescent="0.3">
      <c r="J80" s="13">
        <f>ROW(INDEX(Table1[id],MATCH(calculation!$D$4,Table1[topic_dominant],0))) + ROWS($J$75:J79) - 1</f>
        <v>27</v>
      </c>
      <c r="K80" s="13">
        <f>COLUMN(INDEX(Table1[id],MATCH(calculation!$D$4,Table1[topic_dominant],0)))</f>
        <v>1</v>
      </c>
      <c r="L80" s="13">
        <f t="shared" ca="1" si="8"/>
        <v>35</v>
      </c>
      <c r="M80" s="13">
        <f ca="1">INDEX(Table1[topic_dominant],MATCH($L80,Table1[id],0))</f>
        <v>2</v>
      </c>
      <c r="N80" s="13" t="str">
        <f ca="1">INDEX(Table1[review],MATCH($L80,Table1[id],0))</f>
        <v>The store layout is easy to navigate and staff are always ready to help.</v>
      </c>
      <c r="O80" s="13" t="str">
        <f ca="1">INDEX(Table1[aspect_based_sentiment],MATCH($L80,Table1[id],0))</f>
        <v xml:space="preserve">● staff - ready : Positive
</v>
      </c>
      <c r="V80" s="13" t="str">
        <f ca="1">IF(INDEX(calculation!M79:$M$95,calculation!$D$5)=calculation!$D$4,INDEX(calculation!N79:$N$95,calculation!$D$5),"")</f>
        <v>I’ve been to many phone stores, but this one by far provides the best service.</v>
      </c>
      <c r="W80" s="13" t="str">
        <f ca="1">IF(INDEX(calculation!M79:$M$95,calculation!$D$5)=calculation!$D$4,INDEX(calculation!O79:$O$95,calculation!$D$5),"")</f>
        <v xml:space="preserve">● one - provide : Positive
</v>
      </c>
    </row>
    <row r="81" spans="10:23" ht="43.2" x14ac:dyDescent="0.3">
      <c r="J81" s="13">
        <f>ROW(INDEX(Table1[id],MATCH(calculation!$D$4,Table1[topic_dominant],0))) + ROWS($J$75:J80) - 1</f>
        <v>28</v>
      </c>
      <c r="K81" s="13">
        <f>COLUMN(INDEX(Table1[id],MATCH(calculation!$D$4,Table1[topic_dominant],0)))</f>
        <v>1</v>
      </c>
      <c r="L81" s="13">
        <f t="shared" ca="1" si="8"/>
        <v>29</v>
      </c>
      <c r="M81" s="13">
        <f ca="1">INDEX(Table1[topic_dominant],MATCH($L81,Table1[id],0))</f>
        <v>2</v>
      </c>
      <c r="N81" s="13" t="str">
        <f ca="1">INDEX(Table1[review],MATCH($L81,Table1[id],0))</f>
        <v>This store has a fantastic warranty service!</v>
      </c>
      <c r="O81" s="13" t="str">
        <f ca="1">INDEX(Table1[aspect_based_sentiment],MATCH($L81,Table1[id],0))</f>
        <v xml:space="preserve">● store - have : Positive
</v>
      </c>
      <c r="V81" s="13" t="str">
        <f ca="1">IF(INDEX(calculation!M80:$M$95,calculation!$D$5)=calculation!$D$4,INDEX(calculation!N80:$N$95,calculation!$D$5),"")</f>
        <v>The store layout is easy to navigate and staff are always ready to help.</v>
      </c>
      <c r="W81" s="13" t="str">
        <f ca="1">IF(INDEX(calculation!M80:$M$95,calculation!$D$5)=calculation!$D$4,INDEX(calculation!O80:$O$95,calculation!$D$5),"")</f>
        <v xml:space="preserve">● staff - ready : Positive
</v>
      </c>
    </row>
    <row r="82" spans="10:23" ht="28.8" x14ac:dyDescent="0.3">
      <c r="J82" s="13">
        <f>ROW(INDEX(Table1[id],MATCH(calculation!$D$4,Table1[topic_dominant],0))) + ROWS($J$75:J81) - 1</f>
        <v>29</v>
      </c>
      <c r="K82" s="13">
        <f>COLUMN(INDEX(Table1[id],MATCH(calculation!$D$4,Table1[topic_dominant],0)))</f>
        <v>1</v>
      </c>
      <c r="L82" s="13">
        <f t="shared" ca="1" si="8"/>
        <v>71</v>
      </c>
      <c r="M82" s="13">
        <f ca="1">INDEX(Table1[topic_dominant],MATCH($L82,Table1[id],0))</f>
        <v>2</v>
      </c>
      <c r="N82" s="13" t="str">
        <f ca="1">INDEX(Table1[review],MATCH($L82,Table1[id],0))</f>
        <v>I had to return a faulty phone twice before they finally gave me a refund.</v>
      </c>
      <c r="O82" s="13" t="str">
        <f ca="1">INDEX(Table1[aspect_based_sentiment],MATCH($L82,Table1[id],0))</f>
        <v xml:space="preserve">● staff - have, return : Neutral
</v>
      </c>
      <c r="U82" s="2"/>
      <c r="V82" s="13" t="str">
        <f ca="1">IF(INDEX(calculation!M81:$M$95,calculation!$D$5)=calculation!$D$4,INDEX(calculation!N81:$N$95,calculation!$D$5),"")</f>
        <v>This store has a fantastic warranty service!</v>
      </c>
      <c r="W82" s="13" t="str">
        <f ca="1">IF(INDEX(calculation!M81:$M$95,calculation!$D$5)=calculation!$D$4,INDEX(calculation!O81:$O$95,calculation!$D$5),"")</f>
        <v xml:space="preserve">● store - have : Positive
</v>
      </c>
    </row>
    <row r="83" spans="10:23" ht="43.2" x14ac:dyDescent="0.3">
      <c r="J83" s="13">
        <f>ROW(INDEX(Table1[id],MATCH(calculation!$D$4,Table1[topic_dominant],0))) + ROWS($J$75:J82) - 1</f>
        <v>30</v>
      </c>
      <c r="K83" s="13">
        <f>COLUMN(INDEX(Table1[id],MATCH(calculation!$D$4,Table1[topic_dominant],0)))</f>
        <v>1</v>
      </c>
      <c r="L83" s="13">
        <f t="shared" ca="1" si="8"/>
        <v>74</v>
      </c>
      <c r="M83" s="13">
        <f ca="1">INDEX(Table1[topic_dominant],MATCH($L83,Table1[id],0))</f>
        <v>2</v>
      </c>
      <c r="N83" s="13" t="str">
        <f ca="1">INDEX(Table1[review],MATCH($L83,Table1[id],0))</f>
        <v>They refused to honor the promotion I came in for, very misleading.</v>
      </c>
      <c r="O83" s="13" t="str">
        <f ca="1">INDEX(Table1[aspect_based_sentiment],MATCH($L83,Table1[id],0))</f>
        <v xml:space="preserve">● store - refuse, honor : Neutral
</v>
      </c>
      <c r="U83" s="2"/>
    </row>
    <row r="84" spans="10:23" ht="43.2" x14ac:dyDescent="0.3">
      <c r="J84" s="13">
        <f>ROW(INDEX(Table1[id],MATCH(calculation!$D$4,Table1[topic_dominant],0))) + ROWS($J$75:J83) - 1</f>
        <v>31</v>
      </c>
      <c r="K84" s="13">
        <f>COLUMN(INDEX(Table1[id],MATCH(calculation!$D$4,Table1[topic_dominant],0)))</f>
        <v>1</v>
      </c>
      <c r="L84" s="13">
        <f t="shared" ca="1" si="8"/>
        <v>47</v>
      </c>
      <c r="M84" s="13">
        <f ca="1">INDEX(Table1[topic_dominant],MATCH($L84,Table1[id],0))</f>
        <v>2</v>
      </c>
      <c r="N84" s="13" t="str">
        <f ca="1">INDEX(Table1[review],MATCH($L84,Table1[id],0))</f>
        <v>Service was quick and efficient, I was in and out within 15 minutes!</v>
      </c>
      <c r="O84" s="13" t="str">
        <f ca="1">INDEX(Table1[aspect_based_sentiment],MATCH($L84,Table1[id],0))</f>
        <v xml:space="preserve">● service - quick : Positive
● service - efficient : Neutral
</v>
      </c>
      <c r="U84" s="2"/>
    </row>
    <row r="85" spans="10:23" ht="28.8" x14ac:dyDescent="0.3">
      <c r="J85" s="13">
        <f>ROW(INDEX(Table1[id],MATCH(calculation!$D$4,Table1[topic_dominant],0))) + ROWS($J$75:J84) - 1</f>
        <v>32</v>
      </c>
      <c r="K85" s="13">
        <f>COLUMN(INDEX(Table1[id],MATCH(calculation!$D$4,Table1[topic_dominant],0)))</f>
        <v>1</v>
      </c>
      <c r="L85" s="13">
        <f t="shared" ca="1" si="8"/>
        <v>36</v>
      </c>
      <c r="M85" s="13">
        <f ca="1">INDEX(Table1[topic_dominant],MATCH($L85,Table1[id],0))</f>
        <v>2</v>
      </c>
      <c r="N85" s="13" t="str">
        <f ca="1">INDEX(Table1[review],MATCH($L85,Table1[id],0))</f>
        <v>Best pricing for phone plans, they helped me save a lot!</v>
      </c>
      <c r="O85" s="13" t="str">
        <f ca="1">INDEX(Table1[aspect_based_sentiment],MATCH($L85,Table1[id],0))</f>
        <v xml:space="preserve">● store - help, save : Neutral
</v>
      </c>
      <c r="U85" s="2"/>
    </row>
    <row r="86" spans="10:23" ht="57.6" x14ac:dyDescent="0.3">
      <c r="J86" s="13">
        <f>ROW(INDEX(Table1[id],MATCH(calculation!$D$4,Table1[topic_dominant],0))) + ROWS($J$75:J85) - 1</f>
        <v>33</v>
      </c>
      <c r="K86" s="13">
        <f>COLUMN(INDEX(Table1[id],MATCH(calculation!$D$4,Table1[topic_dominant],0)))</f>
        <v>1</v>
      </c>
      <c r="L86" s="13">
        <f t="shared" ca="1" si="8"/>
        <v>48</v>
      </c>
      <c r="M86" s="13">
        <f ca="1">INDEX(Table1[topic_dominant],MATCH($L86,Table1[id],0))</f>
        <v>2</v>
      </c>
      <c r="N86" s="13" t="str">
        <f ca="1">INDEX(Table1[review],MATCH($L86,Table1[id],0))</f>
        <v>They even helped me transfer all my contacts and data without extra charge.</v>
      </c>
      <c r="O86" s="13" t="str">
        <f ca="1">INDEX(Table1[aspect_based_sentiment],MATCH($L86,Table1[id],0))</f>
        <v xml:space="preserve">● store - help, transfer : Neutral
● store - help, transfer : Neutral
● store - help, transfer : Neutral
</v>
      </c>
      <c r="U86" s="2"/>
    </row>
    <row r="87" spans="10:23" ht="43.2" x14ac:dyDescent="0.3">
      <c r="J87" s="13">
        <f>ROW(INDEX(Table1[id],MATCH(calculation!$D$4,Table1[topic_dominant],0))) + ROWS($J$75:J86) - 1</f>
        <v>34</v>
      </c>
      <c r="K87" s="13">
        <f>COLUMN(INDEX(Table1[id],MATCH(calculation!$D$4,Table1[topic_dominant],0)))</f>
        <v>1</v>
      </c>
      <c r="L87" s="13">
        <f t="shared" ca="1" si="8"/>
        <v>56</v>
      </c>
      <c r="M87" s="13">
        <f ca="1">INDEX(Table1[topic_dominant],MATCH($L87,Table1[id],0))</f>
        <v>2</v>
      </c>
      <c r="N87" s="13" t="str">
        <f ca="1">INDEX(Table1[review],MATCH($L87,Table1[id],0))</f>
        <v>Highly recommend this store if you’re looking for good deals on phones!</v>
      </c>
      <c r="O87" s="13" t="str">
        <f ca="1">INDEX(Table1[aspect_based_sentiment],MATCH($L87,Table1[id],0))</f>
        <v xml:space="preserve">● store - look : Positive
</v>
      </c>
      <c r="U87" s="2"/>
    </row>
    <row r="88" spans="10:23" ht="28.8" x14ac:dyDescent="0.3">
      <c r="J88" s="13">
        <f>ROW(INDEX(Table1[id],MATCH(calculation!$D$4,Table1[topic_dominant],0))) + ROWS($J$75:J87) - 1</f>
        <v>35</v>
      </c>
      <c r="K88" s="13">
        <f>COLUMN(INDEX(Table1[id],MATCH(calculation!$D$4,Table1[topic_dominant],0)))</f>
        <v>1</v>
      </c>
      <c r="L88" s="13">
        <f t="shared" ca="1" si="8"/>
        <v>31</v>
      </c>
      <c r="M88" s="13">
        <f ca="1">INDEX(Table1[topic_dominant],MATCH($L88,Table1[id],0))</f>
        <v>2</v>
      </c>
      <c r="N88" s="13" t="str">
        <f ca="1">INDEX(Table1[review],MATCH($L88,Table1[id],0))</f>
        <v>Excellent store for buying phone accessories, so much variety!</v>
      </c>
      <c r="O88" s="13" t="str">
        <f ca="1">INDEX(Table1[aspect_based_sentiment],MATCH($L88,Table1[id],0))</f>
        <v xml:space="preserve">● store - excellent : Positive
</v>
      </c>
      <c r="U88" s="2"/>
    </row>
    <row r="89" spans="10:23" ht="43.2" x14ac:dyDescent="0.3">
      <c r="J89" s="13">
        <f>ROW(INDEX(Table1[id],MATCH(calculation!$D$4,Table1[topic_dominant],0))) + ROWS($J$75:J88) - 1</f>
        <v>36</v>
      </c>
      <c r="K89" s="13">
        <f>COLUMN(INDEX(Table1[id],MATCH(calculation!$D$4,Table1[topic_dominant],0)))</f>
        <v>1</v>
      </c>
      <c r="L89" s="13">
        <f t="shared" ca="1" si="8"/>
        <v>52</v>
      </c>
      <c r="M89" s="13">
        <f ca="1">INDEX(Table1[topic_dominant],MATCH($L89,Table1[id],0))</f>
        <v>2</v>
      </c>
      <c r="N89" s="13" t="str">
        <f ca="1">INDEX(Table1[review],MATCH($L89,Table1[id],0))</f>
        <v>They offer fantastic promotions and discounts!</v>
      </c>
      <c r="O89" s="13" t="str">
        <f ca="1">INDEX(Table1[aspect_based_sentiment],MATCH($L89,Table1[id],0))</f>
        <v xml:space="preserve">● store - offer : Positive
● store - offer : Neutral
</v>
      </c>
      <c r="U89" s="2"/>
    </row>
    <row r="90" spans="10:23" ht="28.8" x14ac:dyDescent="0.3">
      <c r="J90" s="13">
        <f>ROW(INDEX(Table1[id],MATCH(calculation!$D$4,Table1[topic_dominant],0))) + ROWS($J$75:J89) - 1</f>
        <v>37</v>
      </c>
      <c r="K90" s="13">
        <f>COLUMN(INDEX(Table1[id],MATCH(calculation!$D$4,Table1[topic_dominant],0)))</f>
        <v>1</v>
      </c>
      <c r="L90" s="13">
        <f t="shared" ca="1" si="8"/>
        <v>63</v>
      </c>
      <c r="M90" s="13">
        <f ca="1">INDEX(Table1[topic_dominant],MATCH($L90,Table1[id],0))</f>
        <v>2</v>
      </c>
      <c r="N90" s="13" t="str">
        <f ca="1">INDEX(Table1[review],MATCH($L90,Table1[id],0))</f>
        <v>Customer service is poor, no one seemed interested in helping me.</v>
      </c>
      <c r="O90" s="13" t="str">
        <f ca="1">INDEX(Table1[aspect_based_sentiment],MATCH($L90,Table1[id],0))</f>
        <v xml:space="preserve">● service - poor : Negative
</v>
      </c>
      <c r="U90" s="2"/>
    </row>
    <row r="91" spans="10:23" ht="43.2" x14ac:dyDescent="0.3">
      <c r="J91" s="13">
        <f>ROW(INDEX(Table1[id],MATCH(calculation!$D$4,Table1[topic_dominant],0))) + ROWS($J$75:J90) - 1</f>
        <v>38</v>
      </c>
      <c r="K91" s="13">
        <f>COLUMN(INDEX(Table1[id],MATCH(calculation!$D$4,Table1[topic_dominant],0)))</f>
        <v>1</v>
      </c>
      <c r="L91" s="13">
        <f t="shared" ca="1" si="8"/>
        <v>65</v>
      </c>
      <c r="M91" s="13">
        <f ca="1">INDEX(Table1[topic_dominant],MATCH($L91,Table1[id],0))</f>
        <v>2</v>
      </c>
      <c r="N91" s="13" t="str">
        <f ca="1">INDEX(Table1[review],MATCH($L91,Table1[id],0))</f>
        <v>The staff was rude and unhelpful, I’m never coming back.</v>
      </c>
      <c r="O91" s="13" t="str">
        <f ca="1">INDEX(Table1[aspect_based_sentiment],MATCH($L91,Table1[id],0))</f>
        <v xml:space="preserve">● staff - rude : Negative
● staff - unhelpful : Neutral
</v>
      </c>
      <c r="U91" s="2"/>
    </row>
    <row r="92" spans="10:23" ht="43.2" x14ac:dyDescent="0.3">
      <c r="J92" s="13">
        <f>ROW(INDEX(Table1[id],MATCH(calculation!$D$4,Table1[topic_dominant],0))) + ROWS($J$75:J91) - 1</f>
        <v>39</v>
      </c>
      <c r="K92" s="13">
        <f>COLUMN(INDEX(Table1[id],MATCH(calculation!$D$4,Table1[topic_dominant],0)))</f>
        <v>1</v>
      </c>
      <c r="L92" s="13">
        <f t="shared" ca="1" si="8"/>
        <v>82</v>
      </c>
      <c r="M92" s="13">
        <f ca="1">INDEX(Table1[topic_dominant],MATCH($L92,Table1[id],0))</f>
        <v>2</v>
      </c>
      <c r="N92" s="13" t="str">
        <f ca="1">INDEX(Table1[review],MATCH($L92,Table1[id],0))</f>
        <v>Their return policy is awful, I couldn’t exchange my phone despite its defects.</v>
      </c>
      <c r="O92" s="13" t="str">
        <f ca="1">INDEX(Table1[aspect_based_sentiment],MATCH($L92,Table1[id],0))</f>
        <v xml:space="preserve">● policy - awful : Negative
</v>
      </c>
      <c r="U92" s="2"/>
    </row>
    <row r="93" spans="10:23" ht="43.2" x14ac:dyDescent="0.3">
      <c r="J93" s="13">
        <f>ROW(INDEX(Table1[id],MATCH(calculation!$D$4,Table1[topic_dominant],0))) + ROWS($J$75:J92) - 1</f>
        <v>40</v>
      </c>
      <c r="K93" s="13">
        <f>COLUMN(INDEX(Table1[id],MATCH(calculation!$D$4,Table1[topic_dominant],0)))</f>
        <v>1</v>
      </c>
      <c r="L93" s="13">
        <f t="shared" ca="1" si="8"/>
        <v>86</v>
      </c>
      <c r="M93" s="13">
        <f ca="1">INDEX(Table1[topic_dominant],MATCH($L93,Table1[id],0))</f>
        <v>2</v>
      </c>
      <c r="N93" s="13" t="str">
        <f ca="1">INDEX(Table1[review],MATCH($L93,Table1[id],0))</f>
        <v>They kept trying to sell me more expensive phones when I clearly stated my budget.</v>
      </c>
      <c r="O93" s="13" t="str">
        <f ca="1">INDEX(Table1[aspect_based_sentiment],MATCH($L93,Table1[id],0))</f>
        <v xml:space="preserve">● store - keep, try : Neutral
</v>
      </c>
      <c r="U93" s="2"/>
    </row>
    <row r="94" spans="10:23" ht="28.8" x14ac:dyDescent="0.3">
      <c r="J94" s="13">
        <f>ROW(INDEX(Table1[id],MATCH(calculation!$D$4,Table1[topic_dominant],0))) + ROWS($J$75:J93) - 1</f>
        <v>41</v>
      </c>
      <c r="K94" s="13">
        <f>COLUMN(INDEX(Table1[id],MATCH(calculation!$D$4,Table1[topic_dominant],0)))</f>
        <v>1</v>
      </c>
      <c r="L94" s="13">
        <f t="shared" ca="1" si="8"/>
        <v>9</v>
      </c>
      <c r="M94" s="13">
        <f ca="1">INDEX(Table1[topic_dominant],MATCH($L94,Table1[id],0))</f>
        <v>2</v>
      </c>
      <c r="N94" s="13" t="str">
        <f ca="1">INDEX(Table1[review],MATCH($L94,Table1[id],0))</f>
        <v>I found the perfect phone case here, and the variety was impressive.</v>
      </c>
      <c r="O94" s="13" t="str">
        <f ca="1">INDEX(Table1[aspect_based_sentiment],MATCH($L94,Table1[id],0))</f>
        <v xml:space="preserve">● variety - impressive : Positive
</v>
      </c>
      <c r="U94" s="2"/>
    </row>
    <row r="95" spans="10:23" ht="28.8" x14ac:dyDescent="0.3">
      <c r="J95" s="13">
        <f>ROW(INDEX(Table1[id],MATCH(calculation!$D$4,Table1[topic_dominant],0))) + ROWS($J$75:J94) - 1</f>
        <v>42</v>
      </c>
      <c r="K95" s="13">
        <f>COLUMN(INDEX(Table1[id],MATCH(calculation!$D$4,Table1[topic_dominant],0)))</f>
        <v>1</v>
      </c>
      <c r="L95" s="13">
        <f t="shared" ca="1" si="8"/>
        <v>14</v>
      </c>
      <c r="M95" s="13">
        <f ca="1">INDEX(Table1[topic_dominant],MATCH($L95,Table1[id],0))</f>
        <v>2</v>
      </c>
      <c r="N95" s="13" t="str">
        <f ca="1">INDEX(Table1[review],MATCH($L95,Table1[id],0))</f>
        <v>Excellent service! They helped me find exactly what I was looking for.</v>
      </c>
      <c r="O95" s="13" t="str">
        <f ca="1">INDEX(Table1[aspect_based_sentiment],MATCH($L95,Table1[id],0))</f>
        <v xml:space="preserve">● service - excellent : Positive
</v>
      </c>
      <c r="U95" s="2"/>
    </row>
    <row r="96" spans="10:23" x14ac:dyDescent="0.3">
      <c r="J96"/>
      <c r="U96" s="2"/>
    </row>
    <row r="97" spans="10:21" x14ac:dyDescent="0.3">
      <c r="J97"/>
      <c r="U97" s="2"/>
    </row>
    <row r="98" spans="10:21" x14ac:dyDescent="0.3">
      <c r="J98"/>
      <c r="U98" s="2"/>
    </row>
    <row r="99" spans="10:21" x14ac:dyDescent="0.3">
      <c r="J99"/>
      <c r="U99" s="2"/>
    </row>
    <row r="100" spans="10:21" x14ac:dyDescent="0.3">
      <c r="J100" s="17"/>
      <c r="U100" s="2"/>
    </row>
    <row r="101" spans="10:21" x14ac:dyDescent="0.3">
      <c r="J101"/>
      <c r="U101" s="2"/>
    </row>
    <row r="102" spans="10:21" x14ac:dyDescent="0.3">
      <c r="J102" s="1"/>
      <c r="K102" s="1"/>
      <c r="L102" s="1"/>
      <c r="M102" s="1"/>
      <c r="U102" s="2"/>
    </row>
    <row r="103" spans="10:21" x14ac:dyDescent="0.3">
      <c r="J103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0:21" x14ac:dyDescent="0.3">
      <c r="J104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0:21" x14ac:dyDescent="0.3">
      <c r="J105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0:21" x14ac:dyDescent="0.3">
      <c r="J106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0:21" x14ac:dyDescent="0.3">
      <c r="J107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0:21" x14ac:dyDescent="0.3">
      <c r="J108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0:21" x14ac:dyDescent="0.3">
      <c r="J109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0:21" x14ac:dyDescent="0.3">
      <c r="J110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0:21" x14ac:dyDescent="0.3">
      <c r="J111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0:21" x14ac:dyDescent="0.3">
      <c r="J11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0:21" x14ac:dyDescent="0.3">
      <c r="J113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0:21" x14ac:dyDescent="0.3">
      <c r="J114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0:21" x14ac:dyDescent="0.3">
      <c r="J115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0:21" x14ac:dyDescent="0.3">
      <c r="J116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0:21" x14ac:dyDescent="0.3">
      <c r="J117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0:21" x14ac:dyDescent="0.3">
      <c r="J118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0:21" x14ac:dyDescent="0.3">
      <c r="J119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0:21" x14ac:dyDescent="0.3">
      <c r="J120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0:21" x14ac:dyDescent="0.3">
      <c r="J121"/>
      <c r="U121" s="2"/>
    </row>
    <row r="122" spans="10:21" x14ac:dyDescent="0.3">
      <c r="J122"/>
      <c r="U122" s="2"/>
    </row>
    <row r="123" spans="10:21" x14ac:dyDescent="0.3">
      <c r="U123" s="2"/>
    </row>
    <row r="124" spans="10:21" x14ac:dyDescent="0.3">
      <c r="J124"/>
      <c r="U124" s="2"/>
    </row>
    <row r="125" spans="10:21" x14ac:dyDescent="0.3">
      <c r="J125"/>
      <c r="U125" s="2"/>
    </row>
    <row r="126" spans="10:21" x14ac:dyDescent="0.3">
      <c r="J126"/>
      <c r="U126" s="2"/>
    </row>
    <row r="127" spans="10:21" x14ac:dyDescent="0.3">
      <c r="J127"/>
      <c r="U127" s="2"/>
    </row>
    <row r="128" spans="10:21" x14ac:dyDescent="0.3">
      <c r="J128"/>
      <c r="U128" s="2"/>
    </row>
    <row r="129" spans="10:21" x14ac:dyDescent="0.3">
      <c r="J129"/>
      <c r="U129" s="2"/>
    </row>
    <row r="130" spans="10:21" x14ac:dyDescent="0.3">
      <c r="J130"/>
      <c r="U130" s="2"/>
    </row>
    <row r="131" spans="10:21" x14ac:dyDescent="0.3">
      <c r="J131"/>
    </row>
    <row r="132" spans="10:21" x14ac:dyDescent="0.3">
      <c r="J132"/>
    </row>
    <row r="133" spans="10:21" x14ac:dyDescent="0.3">
      <c r="J133"/>
    </row>
    <row r="134" spans="10:21" x14ac:dyDescent="0.3">
      <c r="J134"/>
    </row>
    <row r="135" spans="10:21" x14ac:dyDescent="0.3">
      <c r="J135"/>
    </row>
    <row r="136" spans="10:21" x14ac:dyDescent="0.3">
      <c r="J136"/>
    </row>
    <row r="137" spans="10:21" x14ac:dyDescent="0.3">
      <c r="J137"/>
    </row>
    <row r="138" spans="10:21" x14ac:dyDescent="0.3">
      <c r="J138"/>
    </row>
    <row r="139" spans="10:21" x14ac:dyDescent="0.3">
      <c r="J139"/>
    </row>
    <row r="140" spans="10:21" x14ac:dyDescent="0.3">
      <c r="J140"/>
    </row>
    <row r="141" spans="10:21" x14ac:dyDescent="0.3">
      <c r="J141"/>
    </row>
    <row r="142" spans="10:21" x14ac:dyDescent="0.3">
      <c r="J142"/>
    </row>
    <row r="143" spans="10:21" x14ac:dyDescent="0.3">
      <c r="J143"/>
    </row>
    <row r="144" spans="10:21" x14ac:dyDescent="0.3">
      <c r="J144"/>
    </row>
    <row r="145" spans="10:10" x14ac:dyDescent="0.3">
      <c r="J145"/>
    </row>
    <row r="146" spans="10:10" x14ac:dyDescent="0.3">
      <c r="J146"/>
    </row>
    <row r="147" spans="10:10" x14ac:dyDescent="0.3">
      <c r="J147"/>
    </row>
    <row r="148" spans="10:10" x14ac:dyDescent="0.3">
      <c r="J148"/>
    </row>
    <row r="149" spans="10:10" x14ac:dyDescent="0.3">
      <c r="J149"/>
    </row>
    <row r="150" spans="10:10" x14ac:dyDescent="0.3">
      <c r="J150"/>
    </row>
    <row r="151" spans="10:10" x14ac:dyDescent="0.3">
      <c r="J151"/>
    </row>
    <row r="152" spans="10:10" x14ac:dyDescent="0.3">
      <c r="J152"/>
    </row>
    <row r="153" spans="10:10" x14ac:dyDescent="0.3">
      <c r="J153"/>
    </row>
    <row r="154" spans="10:10" x14ac:dyDescent="0.3">
      <c r="J154"/>
    </row>
    <row r="155" spans="10:10" x14ac:dyDescent="0.3">
      <c r="J155"/>
    </row>
    <row r="156" spans="10:10" x14ac:dyDescent="0.3">
      <c r="J156"/>
    </row>
    <row r="157" spans="10:10" x14ac:dyDescent="0.3">
      <c r="J157"/>
    </row>
    <row r="158" spans="10:10" x14ac:dyDescent="0.3">
      <c r="J158"/>
    </row>
    <row r="159" spans="10:10" x14ac:dyDescent="0.3">
      <c r="J159"/>
    </row>
    <row r="160" spans="10:10" x14ac:dyDescent="0.3">
      <c r="J160"/>
    </row>
    <row r="161" spans="10:10" x14ac:dyDescent="0.3">
      <c r="J161"/>
    </row>
    <row r="162" spans="10:10" x14ac:dyDescent="0.3">
      <c r="J162"/>
    </row>
    <row r="163" spans="10:10" x14ac:dyDescent="0.3">
      <c r="J163"/>
    </row>
    <row r="164" spans="10:10" x14ac:dyDescent="0.3">
      <c r="J164"/>
    </row>
    <row r="165" spans="10:10" x14ac:dyDescent="0.3">
      <c r="J165"/>
    </row>
    <row r="166" spans="10:10" x14ac:dyDescent="0.3">
      <c r="J166"/>
    </row>
    <row r="167" spans="10:10" x14ac:dyDescent="0.3">
      <c r="J167"/>
    </row>
    <row r="168" spans="10:10" x14ac:dyDescent="0.3">
      <c r="J168"/>
    </row>
    <row r="169" spans="10:10" x14ac:dyDescent="0.3">
      <c r="J169"/>
    </row>
    <row r="170" spans="10:10" x14ac:dyDescent="0.3">
      <c r="J170"/>
    </row>
    <row r="171" spans="10:10" x14ac:dyDescent="0.3">
      <c r="J171"/>
    </row>
    <row r="172" spans="10:10" x14ac:dyDescent="0.3">
      <c r="J172"/>
    </row>
    <row r="173" spans="10:10" x14ac:dyDescent="0.3">
      <c r="J173"/>
    </row>
    <row r="174" spans="10:10" x14ac:dyDescent="0.3">
      <c r="J174"/>
    </row>
    <row r="175" spans="10:10" x14ac:dyDescent="0.3">
      <c r="J175"/>
    </row>
    <row r="176" spans="10:10" x14ac:dyDescent="0.3">
      <c r="J176"/>
    </row>
    <row r="177" spans="10:10" x14ac:dyDescent="0.3">
      <c r="J177"/>
    </row>
    <row r="178" spans="10:10" x14ac:dyDescent="0.3">
      <c r="J178"/>
    </row>
    <row r="179" spans="10:10" x14ac:dyDescent="0.3">
      <c r="J179"/>
    </row>
    <row r="180" spans="10:10" x14ac:dyDescent="0.3">
      <c r="J180"/>
    </row>
    <row r="181" spans="10:10" x14ac:dyDescent="0.3">
      <c r="J181"/>
    </row>
    <row r="182" spans="10:10" x14ac:dyDescent="0.3">
      <c r="J182"/>
    </row>
    <row r="183" spans="10:10" x14ac:dyDescent="0.3">
      <c r="J183"/>
    </row>
    <row r="184" spans="10:10" x14ac:dyDescent="0.3">
      <c r="J184"/>
    </row>
    <row r="185" spans="10:10" x14ac:dyDescent="0.3">
      <c r="J185"/>
    </row>
    <row r="186" spans="10:10" x14ac:dyDescent="0.3">
      <c r="J186"/>
    </row>
    <row r="187" spans="10:10" x14ac:dyDescent="0.3">
      <c r="J187"/>
    </row>
    <row r="188" spans="10:10" x14ac:dyDescent="0.3">
      <c r="J188"/>
    </row>
    <row r="189" spans="10:10" x14ac:dyDescent="0.3">
      <c r="J189"/>
    </row>
    <row r="190" spans="10:10" x14ac:dyDescent="0.3">
      <c r="J190"/>
    </row>
    <row r="191" spans="10:10" x14ac:dyDescent="0.3">
      <c r="J191"/>
    </row>
    <row r="192" spans="10:10" x14ac:dyDescent="0.3">
      <c r="J192"/>
    </row>
    <row r="193" spans="10:10" x14ac:dyDescent="0.3">
      <c r="J193"/>
    </row>
    <row r="194" spans="10:10" x14ac:dyDescent="0.3">
      <c r="J194"/>
    </row>
    <row r="195" spans="10:10" x14ac:dyDescent="0.3">
      <c r="J195"/>
    </row>
    <row r="196" spans="10:10" x14ac:dyDescent="0.3">
      <c r="J196"/>
    </row>
    <row r="197" spans="10:10" x14ac:dyDescent="0.3">
      <c r="J197"/>
    </row>
    <row r="198" spans="10:10" x14ac:dyDescent="0.3">
      <c r="J198"/>
    </row>
    <row r="199" spans="10:10" x14ac:dyDescent="0.3">
      <c r="J199"/>
    </row>
    <row r="200" spans="10:10" x14ac:dyDescent="0.3">
      <c r="J200"/>
    </row>
    <row r="201" spans="10:10" x14ac:dyDescent="0.3">
      <c r="J201"/>
    </row>
    <row r="202" spans="10:10" x14ac:dyDescent="0.3">
      <c r="J202"/>
    </row>
    <row r="203" spans="10:10" x14ac:dyDescent="0.3">
      <c r="J203"/>
    </row>
    <row r="204" spans="10:10" x14ac:dyDescent="0.3">
      <c r="J204"/>
    </row>
    <row r="205" spans="10:10" x14ac:dyDescent="0.3">
      <c r="J205"/>
    </row>
    <row r="206" spans="10:10" x14ac:dyDescent="0.3">
      <c r="J206"/>
    </row>
    <row r="207" spans="10:10" x14ac:dyDescent="0.3">
      <c r="J207"/>
    </row>
    <row r="208" spans="10:10" x14ac:dyDescent="0.3">
      <c r="J208"/>
    </row>
    <row r="209" spans="10:10" x14ac:dyDescent="0.3">
      <c r="J209"/>
    </row>
    <row r="210" spans="10:10" x14ac:dyDescent="0.3">
      <c r="J210"/>
    </row>
    <row r="211" spans="10:10" x14ac:dyDescent="0.3">
      <c r="J211"/>
    </row>
  </sheetData>
  <conditionalFormatting sqref="AM43:AM47">
    <cfRule type="dataBar" priority="2">
      <dataBar>
        <cfvo type="formula" val="$AD$34"/>
        <cfvo type="formula" val="$AD$35"/>
        <color rgb="FF63C384"/>
      </dataBar>
      <extLst>
        <ext xmlns:x14="http://schemas.microsoft.com/office/spreadsheetml/2009/9/main" uri="{B025F937-C7B1-47D3-B67F-A62EFF666E3E}">
          <x14:id>{CF69AC45-C868-433F-B556-5148F27AF13C}</x14:id>
        </ext>
      </extLst>
    </cfRule>
  </conditionalFormatting>
  <conditionalFormatting sqref="AN43:AN47">
    <cfRule type="dataBar" priority="3">
      <dataBar>
        <cfvo type="formula" val="$AD$34"/>
        <cfvo type="formula" val="$AD$35"/>
        <color rgb="FFD6007B"/>
      </dataBar>
      <extLst>
        <ext xmlns:x14="http://schemas.microsoft.com/office/spreadsheetml/2009/9/main" uri="{B025F937-C7B1-47D3-B67F-A62EFF666E3E}">
          <x14:id>{D843A4E2-AAF0-49E9-AF83-679E427A81FA}</x14:id>
        </ext>
      </extLst>
    </cfRule>
  </conditionalFormatting>
  <conditionalFormatting sqref="AO43:AO47">
    <cfRule type="dataBar" priority="4">
      <dataBar>
        <cfvo type="formula" val="$AD$34"/>
        <cfvo type="formula" val="$AD$35"/>
        <color theme="2" tint="-0.249977111117893"/>
      </dataBar>
      <extLst>
        <ext xmlns:x14="http://schemas.microsoft.com/office/spreadsheetml/2009/9/main" uri="{B025F937-C7B1-47D3-B67F-A62EFF666E3E}">
          <x14:id>{DE85B1A3-526E-47B3-90A1-E3B64FA8E2C9}</x14:id>
        </ext>
      </extLst>
    </cfRule>
  </conditionalFormatting>
  <conditionalFormatting sqref="AP43:AP47">
    <cfRule type="dataBar" priority="1">
      <dataBar>
        <cfvo type="formula" val="$AD$34"/>
        <cfvo type="formula" val="$AD$35"/>
        <color theme="4"/>
      </dataBar>
      <extLst>
        <ext xmlns:x14="http://schemas.microsoft.com/office/spreadsheetml/2009/9/main" uri="{B025F937-C7B1-47D3-B67F-A62EFF666E3E}">
          <x14:id>{78B999FE-6341-4914-A9F6-CCAAA3C1FF5A}</x14:id>
        </ext>
      </extLst>
    </cfRule>
  </conditionalFormatting>
  <dataValidations disablePrompts="1" count="1">
    <dataValidation type="list" operator="greaterThanOrEqual" allowBlank="1" showInputMessage="1" showErrorMessage="1" sqref="K6" xr:uid="{012AE52D-A113-4D3D-A9FE-6289E70FAEE9}">
      <formula1>$B$13:$B$15</formula1>
    </dataValidation>
  </dataValidations>
  <pageMargins left="0.7" right="0.7" top="0.75" bottom="0.75" header="0.3" footer="0.3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9AC45-C868-433F-B556-5148F27AF13C}">
            <x14:dataBar minLength="0" maxLength="100" border="1" negativeBarBorderColorSameAsPositive="0">
              <x14:cfvo type="formula">
                <xm:f>$AD$34</xm:f>
              </x14:cfvo>
              <x14:cfvo type="formula">
                <xm:f>$AD$35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AM43:AM47</xm:sqref>
        </x14:conditionalFormatting>
        <x14:conditionalFormatting xmlns:xm="http://schemas.microsoft.com/office/excel/2006/main">
          <x14:cfRule type="dataBar" id="{D843A4E2-AAF0-49E9-AF83-679E427A81FA}">
            <x14:dataBar minLength="0" maxLength="100" border="1" negativeBarBorderColorSameAsPositive="0">
              <x14:cfvo type="formula">
                <xm:f>$AD$34</xm:f>
              </x14:cfvo>
              <x14:cfvo type="formula">
                <xm:f>$AD$35</xm:f>
              </x14:cfvo>
              <x14:borderColor rgb="FFD6007B"/>
              <x14:negativeFillColor rgb="FFFF0000"/>
              <x14:negativeBorderColor rgb="FFFF0000"/>
              <x14:axisColor rgb="FF000000"/>
            </x14:dataBar>
          </x14:cfRule>
          <xm:sqref>AN43:AN47</xm:sqref>
        </x14:conditionalFormatting>
        <x14:conditionalFormatting xmlns:xm="http://schemas.microsoft.com/office/excel/2006/main">
          <x14:cfRule type="dataBar" id="{DE85B1A3-526E-47B3-90A1-E3B64FA8E2C9}">
            <x14:dataBar minLength="0" maxLength="100" border="1" negativeBarBorderColorSameAsPositive="0">
              <x14:cfvo type="formula">
                <xm:f>$AD$34</xm:f>
              </x14:cfvo>
              <x14:cfvo type="formula">
                <xm:f>$AD$35</xm:f>
              </x14:cfvo>
              <x14:borderColor theme="2" tint="-0.249977111117893"/>
              <x14:negativeFillColor rgb="FFFF0000"/>
              <x14:negativeBorderColor rgb="FFFF0000"/>
              <x14:axisColor rgb="FF000000"/>
            </x14:dataBar>
          </x14:cfRule>
          <xm:sqref>AO43:AO47</xm:sqref>
        </x14:conditionalFormatting>
        <x14:conditionalFormatting xmlns:xm="http://schemas.microsoft.com/office/excel/2006/main">
          <x14:cfRule type="dataBar" id="{78B999FE-6341-4914-A9F6-CCAAA3C1FF5A}">
            <x14:dataBar minLength="0" maxLength="100" border="1" negativeBarBorderColorSameAsPositive="0">
              <x14:cfvo type="formula">
                <xm:f>$AD$34</xm:f>
              </x14:cfvo>
              <x14:cfvo type="formula">
                <xm:f>$AD$35</xm:f>
              </x14:cfvo>
              <x14:borderColor theme="4"/>
              <x14:negativeFillColor rgb="FFFF0000"/>
              <x14:negativeBorderColor rgb="FFFF0000"/>
              <x14:axisColor rgb="FF000000"/>
            </x14:dataBar>
          </x14:cfRule>
          <xm:sqref>AP43:AP47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1887-CC8B-49D5-B3FD-A1EABF958FDD}">
  <dimension ref="A1:T156"/>
  <sheetViews>
    <sheetView zoomScale="72" workbookViewId="0">
      <selection activeCell="E5" sqref="E5"/>
    </sheetView>
  </sheetViews>
  <sheetFormatPr defaultRowHeight="14.4" x14ac:dyDescent="0.3"/>
  <cols>
    <col min="2" max="2" width="32.109375" customWidth="1"/>
    <col min="3" max="3" width="11.6640625" customWidth="1"/>
    <col min="4" max="4" width="11.33203125" customWidth="1"/>
    <col min="5" max="5" width="16.33203125" customWidth="1"/>
    <col min="6" max="6" width="18.5546875" customWidth="1"/>
    <col min="7" max="7" width="21.5546875" customWidth="1"/>
    <col min="10" max="10" width="10.44140625" customWidth="1"/>
    <col min="11" max="11" width="15" customWidth="1"/>
    <col min="12" max="12" width="10.21875" customWidth="1"/>
    <col min="13" max="13" width="16.109375" customWidth="1"/>
    <col min="14" max="14" width="11.33203125" customWidth="1"/>
    <col min="15" max="15" width="17.88671875" customWidth="1"/>
    <col min="17" max="17" width="13.77734375" customWidth="1"/>
    <col min="18" max="18" width="56" customWidth="1"/>
    <col min="19" max="19" width="50.5546875" customWidth="1"/>
    <col min="20" max="20" width="17.5546875" customWidth="1"/>
  </cols>
  <sheetData>
    <row r="1" spans="1:20" x14ac:dyDescent="0.3">
      <c r="A1" s="28" t="s">
        <v>0</v>
      </c>
      <c r="B1" s="28" t="s">
        <v>1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474</v>
      </c>
      <c r="I1" s="8" t="s">
        <v>0</v>
      </c>
      <c r="J1" s="8" t="s">
        <v>2</v>
      </c>
      <c r="K1" s="8" t="s">
        <v>109</v>
      </c>
      <c r="L1" s="8" t="s">
        <v>110</v>
      </c>
      <c r="M1" s="8" t="s">
        <v>111</v>
      </c>
      <c r="N1" s="8" t="s">
        <v>4</v>
      </c>
      <c r="O1" s="8" t="s">
        <v>5</v>
      </c>
      <c r="Q1" s="8" t="s">
        <v>2</v>
      </c>
      <c r="R1" s="8" t="s">
        <v>428</v>
      </c>
      <c r="S1" s="8" t="s">
        <v>429</v>
      </c>
      <c r="T1" s="8" t="s">
        <v>430</v>
      </c>
    </row>
    <row r="2" spans="1:20" ht="409.6" x14ac:dyDescent="0.3">
      <c r="A2" s="2">
        <v>68</v>
      </c>
      <c r="B2" s="2" t="s">
        <v>77</v>
      </c>
      <c r="C2" s="29">
        <v>45608</v>
      </c>
      <c r="D2" s="2" t="s">
        <v>8</v>
      </c>
      <c r="E2" s="2">
        <v>1</v>
      </c>
      <c r="F2" s="2">
        <v>0.65410000085830688</v>
      </c>
      <c r="G2" s="2" t="s">
        <v>537</v>
      </c>
      <c r="I2" s="2">
        <v>1</v>
      </c>
      <c r="J2" s="2" t="s">
        <v>112</v>
      </c>
      <c r="K2" s="2" t="s">
        <v>113</v>
      </c>
      <c r="L2" s="2" t="s">
        <v>114</v>
      </c>
      <c r="M2" s="2" t="s">
        <v>115</v>
      </c>
      <c r="N2" s="2" t="s">
        <v>8</v>
      </c>
      <c r="O2" s="2">
        <f>INDEX(Table1[topic_dominant],MATCH(Table2[[#This Row],[id]],Table1[id],0))</f>
        <v>3</v>
      </c>
      <c r="Q2" s="2" t="s">
        <v>112</v>
      </c>
      <c r="R2" s="2" t="s">
        <v>382</v>
      </c>
      <c r="S2" s="2" t="s">
        <v>383</v>
      </c>
      <c r="T2" s="2" t="s">
        <v>384</v>
      </c>
    </row>
    <row r="3" spans="1:20" ht="57.6" x14ac:dyDescent="0.3">
      <c r="A3" s="2">
        <v>58</v>
      </c>
      <c r="B3" s="2" t="s">
        <v>66</v>
      </c>
      <c r="C3" s="29">
        <v>45606</v>
      </c>
      <c r="D3" s="2" t="s">
        <v>10</v>
      </c>
      <c r="E3" s="2">
        <v>1</v>
      </c>
      <c r="F3" s="2">
        <v>0.65299999713897705</v>
      </c>
      <c r="G3" s="2" t="s">
        <v>528</v>
      </c>
      <c r="I3" s="2">
        <v>1</v>
      </c>
      <c r="J3" s="2" t="s">
        <v>112</v>
      </c>
      <c r="K3" s="2" t="s">
        <v>113</v>
      </c>
      <c r="L3" s="2" t="s">
        <v>116</v>
      </c>
      <c r="M3" s="2" t="s">
        <v>117</v>
      </c>
      <c r="N3" s="2" t="s">
        <v>8</v>
      </c>
      <c r="O3" s="2">
        <f>INDEX(Table1[topic_dominant],MATCH(Table2[[#This Row],[id]],Table1[id],0))</f>
        <v>3</v>
      </c>
      <c r="Q3" s="2" t="s">
        <v>118</v>
      </c>
      <c r="R3" s="2" t="s">
        <v>385</v>
      </c>
      <c r="S3" s="2"/>
      <c r="T3" s="2" t="s">
        <v>386</v>
      </c>
    </row>
    <row r="4" spans="1:20" ht="72" x14ac:dyDescent="0.3">
      <c r="A4" s="2">
        <v>84</v>
      </c>
      <c r="B4" s="2" t="s">
        <v>93</v>
      </c>
      <c r="C4" s="29">
        <v>45610</v>
      </c>
      <c r="D4" s="2" t="s">
        <v>71</v>
      </c>
      <c r="E4" s="2">
        <v>1</v>
      </c>
      <c r="F4" s="2">
        <v>0.64889997243881226</v>
      </c>
      <c r="G4" s="2" t="s">
        <v>552</v>
      </c>
      <c r="I4" s="2">
        <v>2</v>
      </c>
      <c r="J4" s="2" t="s">
        <v>118</v>
      </c>
      <c r="K4" s="2" t="s">
        <v>113</v>
      </c>
      <c r="L4" s="2" t="s">
        <v>119</v>
      </c>
      <c r="M4" s="2" t="s">
        <v>120</v>
      </c>
      <c r="N4" s="2" t="s">
        <v>10</v>
      </c>
      <c r="O4" s="2">
        <f>INDEX(Table1[topic_dominant],MATCH(Table2[[#This Row],[id]],Table1[id],0))</f>
        <v>3</v>
      </c>
      <c r="Q4" s="2" t="s">
        <v>123</v>
      </c>
      <c r="R4" s="2" t="s">
        <v>387</v>
      </c>
      <c r="S4" s="2" t="s">
        <v>388</v>
      </c>
      <c r="T4" s="2" t="s">
        <v>389</v>
      </c>
    </row>
    <row r="5" spans="1:20" ht="43.2" x14ac:dyDescent="0.3">
      <c r="A5" s="2">
        <v>93</v>
      </c>
      <c r="B5" s="2" t="s">
        <v>102</v>
      </c>
      <c r="C5" s="29">
        <v>45612</v>
      </c>
      <c r="D5" s="2" t="s">
        <v>71</v>
      </c>
      <c r="E5" s="2">
        <v>1</v>
      </c>
      <c r="F5" s="2">
        <v>0.63220000267028809</v>
      </c>
      <c r="G5" s="2" t="s">
        <v>561</v>
      </c>
      <c r="I5" s="2">
        <v>2</v>
      </c>
      <c r="J5" s="2" t="s">
        <v>118</v>
      </c>
      <c r="K5" s="2" t="s">
        <v>113</v>
      </c>
      <c r="L5" s="2" t="s">
        <v>121</v>
      </c>
      <c r="M5" s="2" t="s">
        <v>122</v>
      </c>
      <c r="N5" s="2" t="s">
        <v>10</v>
      </c>
      <c r="O5" s="2">
        <f>INDEX(Table1[topic_dominant],MATCH(Table2[[#This Row],[id]],Table1[id],0))</f>
        <v>3</v>
      </c>
      <c r="Q5" s="2" t="s">
        <v>126</v>
      </c>
      <c r="R5" s="2" t="s">
        <v>390</v>
      </c>
      <c r="S5" s="2"/>
      <c r="T5" s="2" t="s">
        <v>391</v>
      </c>
    </row>
    <row r="6" spans="1:20" ht="43.2" x14ac:dyDescent="0.3">
      <c r="A6" s="2">
        <v>5</v>
      </c>
      <c r="B6" s="2" t="s">
        <v>13</v>
      </c>
      <c r="C6" s="29">
        <v>45597</v>
      </c>
      <c r="D6" s="2" t="s">
        <v>8</v>
      </c>
      <c r="E6" s="2">
        <v>1</v>
      </c>
      <c r="F6" s="2">
        <v>0.62529999017715454</v>
      </c>
      <c r="G6" s="2" t="s">
        <v>479</v>
      </c>
      <c r="I6" s="2">
        <v>3</v>
      </c>
      <c r="J6" s="2" t="s">
        <v>123</v>
      </c>
      <c r="K6" s="2" t="s">
        <v>113</v>
      </c>
      <c r="L6" s="2" t="s">
        <v>124</v>
      </c>
      <c r="M6" s="2" t="s">
        <v>125</v>
      </c>
      <c r="N6" s="2" t="s">
        <v>10</v>
      </c>
      <c r="O6" s="2">
        <f>INDEX(Table1[topic_dominant],MATCH(Table2[[#This Row],[id]],Table1[id],0))</f>
        <v>3</v>
      </c>
      <c r="Q6" s="2" t="s">
        <v>133</v>
      </c>
      <c r="R6" s="2"/>
      <c r="S6" s="2"/>
      <c r="T6" s="2" t="s">
        <v>392</v>
      </c>
    </row>
    <row r="7" spans="1:20" ht="28.8" x14ac:dyDescent="0.3">
      <c r="A7" s="2">
        <v>75</v>
      </c>
      <c r="B7" s="2" t="s">
        <v>84</v>
      </c>
      <c r="C7" s="29">
        <v>45609</v>
      </c>
      <c r="D7" s="2" t="s">
        <v>8</v>
      </c>
      <c r="E7" s="2">
        <v>1</v>
      </c>
      <c r="F7" s="2">
        <v>0.62309998273849487</v>
      </c>
      <c r="G7" s="2" t="s">
        <v>543</v>
      </c>
      <c r="I7" s="2">
        <v>3</v>
      </c>
      <c r="J7" s="2" t="s">
        <v>126</v>
      </c>
      <c r="K7" s="2" t="s">
        <v>113</v>
      </c>
      <c r="L7" s="2" t="s">
        <v>127</v>
      </c>
      <c r="M7" s="2" t="s">
        <v>128</v>
      </c>
      <c r="N7" s="2" t="s">
        <v>8</v>
      </c>
      <c r="O7" s="2">
        <f>INDEX(Table1[topic_dominant],MATCH(Table2[[#This Row],[id]],Table1[id],0))</f>
        <v>3</v>
      </c>
      <c r="Q7" s="2" t="s">
        <v>144</v>
      </c>
      <c r="R7" s="2" t="s">
        <v>393</v>
      </c>
      <c r="S7" s="2"/>
      <c r="T7" s="2"/>
    </row>
    <row r="8" spans="1:20" ht="86.4" x14ac:dyDescent="0.3">
      <c r="A8" s="2">
        <v>96</v>
      </c>
      <c r="B8" s="2" t="s">
        <v>105</v>
      </c>
      <c r="C8" s="29">
        <v>45613</v>
      </c>
      <c r="D8" s="2" t="s">
        <v>8</v>
      </c>
      <c r="E8" s="2">
        <v>1</v>
      </c>
      <c r="F8" s="2">
        <v>0.62309998273849487</v>
      </c>
      <c r="G8" s="2" t="s">
        <v>543</v>
      </c>
      <c r="I8" s="2">
        <v>4</v>
      </c>
      <c r="J8" s="2" t="s">
        <v>112</v>
      </c>
      <c r="K8" s="2" t="s">
        <v>129</v>
      </c>
      <c r="L8" s="2" t="s">
        <v>130</v>
      </c>
      <c r="M8" s="2" t="s">
        <v>131</v>
      </c>
      <c r="N8" s="2" t="s">
        <v>8</v>
      </c>
      <c r="O8" s="2">
        <f>INDEX(Table1[topic_dominant],MATCH(Table2[[#This Row],[id]],Table1[id],0))</f>
        <v>2</v>
      </c>
      <c r="Q8" s="2" t="s">
        <v>140</v>
      </c>
      <c r="R8" s="2" t="s">
        <v>394</v>
      </c>
      <c r="S8" s="2"/>
      <c r="T8" s="2" t="s">
        <v>395</v>
      </c>
    </row>
    <row r="9" spans="1:20" ht="57.6" x14ac:dyDescent="0.3">
      <c r="A9" s="2">
        <v>42</v>
      </c>
      <c r="B9" s="2" t="s">
        <v>50</v>
      </c>
      <c r="C9" s="29">
        <v>45602</v>
      </c>
      <c r="D9" s="2" t="s">
        <v>10</v>
      </c>
      <c r="E9" s="2">
        <v>1</v>
      </c>
      <c r="F9" s="2">
        <v>0.61549997329711914</v>
      </c>
      <c r="G9" s="2" t="s">
        <v>513</v>
      </c>
      <c r="I9" s="2">
        <v>4</v>
      </c>
      <c r="J9" s="2" t="s">
        <v>112</v>
      </c>
      <c r="K9" s="2" t="s">
        <v>129</v>
      </c>
      <c r="L9" s="2" t="s">
        <v>130</v>
      </c>
      <c r="M9" s="2" t="s">
        <v>132</v>
      </c>
      <c r="N9" s="2" t="s">
        <v>10</v>
      </c>
      <c r="O9" s="2">
        <f>INDEX(Table1[topic_dominant],MATCH(Table2[[#This Row],[id]],Table1[id],0))</f>
        <v>2</v>
      </c>
      <c r="Q9" s="2" t="s">
        <v>145</v>
      </c>
      <c r="R9" s="2" t="s">
        <v>396</v>
      </c>
      <c r="S9" s="2"/>
      <c r="T9" s="2"/>
    </row>
    <row r="10" spans="1:20" ht="43.2" x14ac:dyDescent="0.3">
      <c r="A10" s="2">
        <v>26</v>
      </c>
      <c r="B10" s="2" t="s">
        <v>34</v>
      </c>
      <c r="C10" s="29">
        <v>45600</v>
      </c>
      <c r="D10" s="2" t="s">
        <v>8</v>
      </c>
      <c r="E10" s="2">
        <v>1</v>
      </c>
      <c r="F10" s="2">
        <v>0.6021999716758728</v>
      </c>
      <c r="G10" s="2" t="s">
        <v>499</v>
      </c>
      <c r="I10" s="2">
        <v>5</v>
      </c>
      <c r="J10" s="2" t="s">
        <v>133</v>
      </c>
      <c r="K10" s="2" t="s">
        <v>129</v>
      </c>
      <c r="L10" s="2" t="s">
        <v>134</v>
      </c>
      <c r="M10" s="2" t="s">
        <v>135</v>
      </c>
      <c r="N10" s="2" t="s">
        <v>8</v>
      </c>
      <c r="O10" s="2">
        <f>INDEX(Table1[topic_dominant],MATCH(Table2[[#This Row],[id]],Table1[id],0))</f>
        <v>1</v>
      </c>
      <c r="Q10" s="2" t="s">
        <v>148</v>
      </c>
      <c r="R10" s="2" t="s">
        <v>397</v>
      </c>
      <c r="S10" s="2"/>
      <c r="T10" s="2" t="s">
        <v>398</v>
      </c>
    </row>
    <row r="11" spans="1:20" ht="72" x14ac:dyDescent="0.3">
      <c r="A11" s="2">
        <v>80</v>
      </c>
      <c r="B11" s="2" t="s">
        <v>89</v>
      </c>
      <c r="C11" s="29">
        <v>45610</v>
      </c>
      <c r="D11" s="2" t="s">
        <v>8</v>
      </c>
      <c r="E11" s="2">
        <v>1</v>
      </c>
      <c r="F11" s="2">
        <v>0.571399986743927</v>
      </c>
      <c r="G11" s="2" t="s">
        <v>548</v>
      </c>
      <c r="I11" s="2">
        <v>6</v>
      </c>
      <c r="J11" s="2" t="s">
        <v>112</v>
      </c>
      <c r="K11" s="2" t="s">
        <v>129</v>
      </c>
      <c r="L11" s="2" t="s">
        <v>136</v>
      </c>
      <c r="M11" s="2" t="s">
        <v>137</v>
      </c>
      <c r="N11" s="2" t="s">
        <v>10</v>
      </c>
      <c r="O11" s="2">
        <f>INDEX(Table1[topic_dominant],MATCH(Table2[[#This Row],[id]],Table1[id],0))</f>
        <v>1</v>
      </c>
      <c r="Q11" s="2" t="s">
        <v>157</v>
      </c>
      <c r="R11" s="2" t="s">
        <v>399</v>
      </c>
      <c r="S11" s="2" t="s">
        <v>400</v>
      </c>
      <c r="T11" s="2" t="s">
        <v>401</v>
      </c>
    </row>
    <row r="12" spans="1:20" ht="43.2" x14ac:dyDescent="0.3">
      <c r="A12" s="2">
        <v>51</v>
      </c>
      <c r="B12" s="2" t="s">
        <v>59</v>
      </c>
      <c r="C12" s="29">
        <v>45604</v>
      </c>
      <c r="D12" s="2" t="s">
        <v>8</v>
      </c>
      <c r="E12" s="2">
        <v>1</v>
      </c>
      <c r="F12" s="2">
        <v>0.56029999256134033</v>
      </c>
      <c r="G12" s="2" t="s">
        <v>521</v>
      </c>
      <c r="I12" s="2">
        <v>6</v>
      </c>
      <c r="J12" s="2" t="s">
        <v>112</v>
      </c>
      <c r="K12" s="2" t="s">
        <v>129</v>
      </c>
      <c r="L12" s="2" t="s">
        <v>138</v>
      </c>
      <c r="M12" s="2" t="s">
        <v>139</v>
      </c>
      <c r="N12" s="2" t="s">
        <v>8</v>
      </c>
      <c r="O12" s="2">
        <f>INDEX(Table1[topic_dominant],MATCH(Table2[[#This Row],[id]],Table1[id],0))</f>
        <v>1</v>
      </c>
      <c r="Q12" s="2" t="s">
        <v>160</v>
      </c>
      <c r="R12" s="2" t="s">
        <v>402</v>
      </c>
      <c r="S12" s="2"/>
      <c r="T12" s="2"/>
    </row>
    <row r="13" spans="1:20" ht="43.2" x14ac:dyDescent="0.3">
      <c r="A13" s="2">
        <v>20</v>
      </c>
      <c r="B13" s="2" t="s">
        <v>28</v>
      </c>
      <c r="C13" s="29">
        <v>45598</v>
      </c>
      <c r="D13" s="2" t="s">
        <v>10</v>
      </c>
      <c r="E13" s="2">
        <v>1</v>
      </c>
      <c r="F13" s="2">
        <v>0.55870002508163452</v>
      </c>
      <c r="G13" s="2" t="s">
        <v>493</v>
      </c>
      <c r="I13" s="2">
        <v>7</v>
      </c>
      <c r="J13" s="2" t="s">
        <v>140</v>
      </c>
      <c r="K13" s="2" t="s">
        <v>129</v>
      </c>
      <c r="L13" s="2" t="s">
        <v>141</v>
      </c>
      <c r="M13" s="2" t="s">
        <v>142</v>
      </c>
      <c r="N13" s="2" t="s">
        <v>10</v>
      </c>
      <c r="O13" s="2">
        <f>INDEX(Table1[topic_dominant],MATCH(Table2[[#This Row],[id]],Table1[id],0))</f>
        <v>3</v>
      </c>
      <c r="Q13" s="2" t="s">
        <v>164</v>
      </c>
      <c r="R13" s="2"/>
      <c r="S13" s="2"/>
      <c r="T13" s="2" t="s">
        <v>403</v>
      </c>
    </row>
    <row r="14" spans="1:20" ht="43.2" x14ac:dyDescent="0.3">
      <c r="A14" s="2">
        <v>21</v>
      </c>
      <c r="B14" s="2" t="s">
        <v>29</v>
      </c>
      <c r="C14" s="29">
        <v>45599</v>
      </c>
      <c r="D14" s="2" t="s">
        <v>8</v>
      </c>
      <c r="E14" s="2">
        <v>1</v>
      </c>
      <c r="F14" s="2">
        <v>0.53460001945495605</v>
      </c>
      <c r="G14" s="2" t="s">
        <v>494</v>
      </c>
      <c r="I14" s="2">
        <v>7</v>
      </c>
      <c r="J14" s="2" t="s">
        <v>140</v>
      </c>
      <c r="K14" s="2" t="s">
        <v>129</v>
      </c>
      <c r="L14" s="2" t="s">
        <v>141</v>
      </c>
      <c r="M14" s="2" t="s">
        <v>143</v>
      </c>
      <c r="N14" s="2" t="s">
        <v>10</v>
      </c>
      <c r="O14" s="2">
        <f>INDEX(Table1[topic_dominant],MATCH(Table2[[#This Row],[id]],Table1[id],0))</f>
        <v>3</v>
      </c>
      <c r="Q14" s="2" t="s">
        <v>167</v>
      </c>
      <c r="R14" s="2"/>
      <c r="S14" s="2"/>
      <c r="T14" s="2" t="s">
        <v>404</v>
      </c>
    </row>
    <row r="15" spans="1:20" ht="288" x14ac:dyDescent="0.3">
      <c r="A15" s="2">
        <v>54</v>
      </c>
      <c r="B15" s="2" t="s">
        <v>62</v>
      </c>
      <c r="C15" s="29">
        <v>45606</v>
      </c>
      <c r="D15" s="2" t="s">
        <v>10</v>
      </c>
      <c r="E15" s="2">
        <v>1</v>
      </c>
      <c r="F15" s="2">
        <v>0.51469999551773071</v>
      </c>
      <c r="G15" s="2" t="s">
        <v>524</v>
      </c>
      <c r="I15" s="2">
        <v>7</v>
      </c>
      <c r="J15" s="2" t="s">
        <v>144</v>
      </c>
      <c r="K15" s="2" t="s">
        <v>129</v>
      </c>
      <c r="L15" s="2" t="s">
        <v>141</v>
      </c>
      <c r="M15" s="2" t="s">
        <v>143</v>
      </c>
      <c r="N15" s="2" t="s">
        <v>10</v>
      </c>
      <c r="O15" s="2">
        <f>INDEX(Table1[topic_dominant],MATCH(Table2[[#This Row],[id]],Table1[id],0))</f>
        <v>3</v>
      </c>
      <c r="Q15" s="2" t="s">
        <v>174</v>
      </c>
      <c r="R15" s="2" t="s">
        <v>405</v>
      </c>
      <c r="S15" s="2"/>
      <c r="T15" s="2" t="s">
        <v>406</v>
      </c>
    </row>
    <row r="16" spans="1:20" ht="409.6" x14ac:dyDescent="0.3">
      <c r="A16" s="2">
        <v>23</v>
      </c>
      <c r="B16" s="2" t="s">
        <v>31</v>
      </c>
      <c r="C16" s="29">
        <v>45599</v>
      </c>
      <c r="D16" s="2" t="s">
        <v>8</v>
      </c>
      <c r="E16" s="2">
        <v>1</v>
      </c>
      <c r="F16" s="2">
        <v>0.50770002603530884</v>
      </c>
      <c r="G16" s="2" t="s">
        <v>496</v>
      </c>
      <c r="I16" s="2">
        <v>8</v>
      </c>
      <c r="J16" s="2" t="s">
        <v>145</v>
      </c>
      <c r="K16" s="2" t="s">
        <v>129</v>
      </c>
      <c r="L16" s="2" t="s">
        <v>146</v>
      </c>
      <c r="M16" s="2" t="s">
        <v>147</v>
      </c>
      <c r="N16" s="2" t="s">
        <v>10</v>
      </c>
      <c r="O16" s="2">
        <f>INDEX(Table1[topic_dominant],MATCH(Table2[[#This Row],[id]],Table1[id],0))</f>
        <v>2</v>
      </c>
      <c r="Q16" s="2" t="s">
        <v>182</v>
      </c>
      <c r="R16" s="2" t="s">
        <v>407</v>
      </c>
      <c r="S16" s="2" t="s">
        <v>408</v>
      </c>
      <c r="T16" s="2" t="s">
        <v>409</v>
      </c>
    </row>
    <row r="17" spans="1:20" ht="43.2" x14ac:dyDescent="0.3">
      <c r="A17" s="2">
        <v>12</v>
      </c>
      <c r="B17" s="2" t="s">
        <v>20</v>
      </c>
      <c r="C17" s="29">
        <v>45597</v>
      </c>
      <c r="D17" s="2" t="s">
        <v>10</v>
      </c>
      <c r="E17" s="2">
        <v>1</v>
      </c>
      <c r="F17" s="2">
        <v>0.50309997797012329</v>
      </c>
      <c r="G17" s="2" t="s">
        <v>485</v>
      </c>
      <c r="I17" s="2">
        <v>9</v>
      </c>
      <c r="J17" s="2" t="s">
        <v>148</v>
      </c>
      <c r="K17" s="2" t="s">
        <v>113</v>
      </c>
      <c r="L17" s="2" t="s">
        <v>149</v>
      </c>
      <c r="M17" s="2" t="s">
        <v>150</v>
      </c>
      <c r="N17" s="2" t="s">
        <v>10</v>
      </c>
      <c r="O17" s="2">
        <f>INDEX(Table1[topic_dominant],MATCH(Table2[[#This Row],[id]],Table1[id],0))</f>
        <v>2</v>
      </c>
      <c r="Q17" s="2" t="s">
        <v>197</v>
      </c>
      <c r="R17" s="2" t="s">
        <v>410</v>
      </c>
      <c r="S17" s="2"/>
      <c r="T17" s="2"/>
    </row>
    <row r="18" spans="1:20" ht="43.2" x14ac:dyDescent="0.3">
      <c r="A18" s="2">
        <v>60</v>
      </c>
      <c r="B18" s="2" t="s">
        <v>68</v>
      </c>
      <c r="C18" s="29">
        <v>45606</v>
      </c>
      <c r="D18" s="2" t="s">
        <v>8</v>
      </c>
      <c r="E18" s="2">
        <v>1</v>
      </c>
      <c r="F18" s="2">
        <v>0.49410000443458563</v>
      </c>
      <c r="G18" s="2" t="s">
        <v>530</v>
      </c>
      <c r="I18" s="2">
        <v>11</v>
      </c>
      <c r="J18" s="2" t="s">
        <v>112</v>
      </c>
      <c r="K18" s="2" t="s">
        <v>113</v>
      </c>
      <c r="L18" s="2" t="s">
        <v>151</v>
      </c>
      <c r="M18" s="2" t="s">
        <v>152</v>
      </c>
      <c r="N18" s="2" t="s">
        <v>8</v>
      </c>
      <c r="O18" s="2">
        <f>INDEX(Table1[topic_dominant],MATCH(Table2[[#This Row],[id]],Table1[id],0))</f>
        <v>3</v>
      </c>
      <c r="Q18" s="2" t="s">
        <v>205</v>
      </c>
      <c r="R18" s="2" t="s">
        <v>411</v>
      </c>
      <c r="S18" s="2"/>
      <c r="T18" s="2"/>
    </row>
    <row r="19" spans="1:20" ht="43.2" x14ac:dyDescent="0.3">
      <c r="A19" s="2">
        <v>81</v>
      </c>
      <c r="B19" s="2" t="s">
        <v>90</v>
      </c>
      <c r="C19" s="29">
        <v>45610</v>
      </c>
      <c r="D19" s="2" t="s">
        <v>8</v>
      </c>
      <c r="E19" s="2">
        <v>1</v>
      </c>
      <c r="F19" s="2">
        <v>0.49399998784065252</v>
      </c>
      <c r="G19" s="2" t="s">
        <v>549</v>
      </c>
      <c r="I19" s="2">
        <v>12</v>
      </c>
      <c r="J19" s="2" t="s">
        <v>126</v>
      </c>
      <c r="K19" s="2" t="s">
        <v>113</v>
      </c>
      <c r="L19" s="2" t="s">
        <v>153</v>
      </c>
      <c r="M19" s="2" t="s">
        <v>154</v>
      </c>
      <c r="N19" s="2" t="s">
        <v>10</v>
      </c>
      <c r="O19" s="2">
        <f>INDEX(Table1[topic_dominant],MATCH(Table2[[#This Row],[id]],Table1[id],0))</f>
        <v>1</v>
      </c>
      <c r="Q19" s="2" t="s">
        <v>214</v>
      </c>
      <c r="R19" s="2" t="s">
        <v>412</v>
      </c>
      <c r="S19" s="2" t="s">
        <v>413</v>
      </c>
      <c r="T19" s="2"/>
    </row>
    <row r="20" spans="1:20" ht="43.2" x14ac:dyDescent="0.3">
      <c r="A20" s="2">
        <v>25</v>
      </c>
      <c r="B20" s="2" t="s">
        <v>33</v>
      </c>
      <c r="C20" s="29">
        <v>45599</v>
      </c>
      <c r="D20" s="2" t="s">
        <v>10</v>
      </c>
      <c r="E20" s="2">
        <v>1</v>
      </c>
      <c r="F20" s="2">
        <v>0.49230000376701349</v>
      </c>
      <c r="G20" s="2" t="s">
        <v>498</v>
      </c>
      <c r="I20" s="2">
        <v>13</v>
      </c>
      <c r="J20" s="2" t="s">
        <v>112</v>
      </c>
      <c r="K20" s="2" t="s">
        <v>129</v>
      </c>
      <c r="L20" s="2" t="s">
        <v>155</v>
      </c>
      <c r="M20" s="2" t="s">
        <v>156</v>
      </c>
      <c r="N20" s="2" t="s">
        <v>10</v>
      </c>
      <c r="O20" s="2">
        <f>INDEX(Table1[topic_dominant],MATCH(Table2[[#This Row],[id]],Table1[id],0))</f>
        <v>3</v>
      </c>
      <c r="Q20" s="2" t="s">
        <v>221</v>
      </c>
      <c r="R20" s="2"/>
      <c r="S20" s="2"/>
      <c r="T20" s="2" t="s">
        <v>414</v>
      </c>
    </row>
    <row r="21" spans="1:20" ht="43.2" x14ac:dyDescent="0.3">
      <c r="A21" s="2">
        <v>77</v>
      </c>
      <c r="B21" s="2" t="s">
        <v>86</v>
      </c>
      <c r="C21" s="29">
        <v>45609</v>
      </c>
      <c r="D21" s="2" t="s">
        <v>71</v>
      </c>
      <c r="E21" s="2">
        <v>1</v>
      </c>
      <c r="F21" s="2">
        <v>0.49219998717308039</v>
      </c>
      <c r="G21" s="2" t="s">
        <v>545</v>
      </c>
      <c r="I21" s="2">
        <v>14</v>
      </c>
      <c r="J21" s="2" t="s">
        <v>157</v>
      </c>
      <c r="K21" s="2" t="s">
        <v>113</v>
      </c>
      <c r="L21" s="2" t="s">
        <v>158</v>
      </c>
      <c r="M21" s="2" t="s">
        <v>159</v>
      </c>
      <c r="N21" s="2" t="s">
        <v>10</v>
      </c>
      <c r="O21" s="2">
        <f>INDEX(Table1[topic_dominant],MATCH(Table2[[#This Row],[id]],Table1[id],0))</f>
        <v>2</v>
      </c>
      <c r="Q21" s="2" t="s">
        <v>224</v>
      </c>
      <c r="R21" s="2" t="s">
        <v>415</v>
      </c>
      <c r="S21" s="2"/>
      <c r="T21" s="2"/>
    </row>
    <row r="22" spans="1:20" ht="57.6" x14ac:dyDescent="0.3">
      <c r="A22" s="2">
        <v>6</v>
      </c>
      <c r="B22" s="2" t="s">
        <v>14</v>
      </c>
      <c r="C22" s="29">
        <v>45597</v>
      </c>
      <c r="D22" s="2" t="s">
        <v>10</v>
      </c>
      <c r="E22" s="2">
        <v>1</v>
      </c>
      <c r="F22" s="2">
        <v>0.43239998817443848</v>
      </c>
      <c r="G22" s="2" t="s">
        <v>480</v>
      </c>
      <c r="I22" s="2">
        <v>15</v>
      </c>
      <c r="J22" s="2" t="s">
        <v>160</v>
      </c>
      <c r="K22" s="2" t="s">
        <v>113</v>
      </c>
      <c r="L22" s="2" t="s">
        <v>161</v>
      </c>
      <c r="M22" s="2" t="s">
        <v>162</v>
      </c>
      <c r="N22" s="2" t="s">
        <v>10</v>
      </c>
      <c r="O22" s="2">
        <f>INDEX(Table1[topic_dominant],MATCH(Table2[[#This Row],[id]],Table1[id],0))</f>
        <v>2</v>
      </c>
      <c r="Q22" s="2" t="s">
        <v>226</v>
      </c>
      <c r="R22" s="2" t="s">
        <v>416</v>
      </c>
      <c r="S22" s="2"/>
      <c r="T22" s="2"/>
    </row>
    <row r="23" spans="1:20" ht="72" x14ac:dyDescent="0.3">
      <c r="A23" s="2">
        <v>57</v>
      </c>
      <c r="B23" s="2" t="s">
        <v>65</v>
      </c>
      <c r="C23" s="29">
        <v>45606</v>
      </c>
      <c r="D23" s="2" t="s">
        <v>10</v>
      </c>
      <c r="E23" s="2">
        <v>2</v>
      </c>
      <c r="F23" s="2">
        <v>0.76709997653961182</v>
      </c>
      <c r="G23" s="2" t="s">
        <v>527</v>
      </c>
      <c r="I23" s="2">
        <v>15</v>
      </c>
      <c r="J23" s="2" t="s">
        <v>112</v>
      </c>
      <c r="K23" s="2" t="s">
        <v>113</v>
      </c>
      <c r="L23" s="2" t="s">
        <v>161</v>
      </c>
      <c r="M23" s="2" t="s">
        <v>163</v>
      </c>
      <c r="N23" s="2" t="s">
        <v>10</v>
      </c>
      <c r="O23" s="2">
        <f>INDEX(Table1[topic_dominant],MATCH(Table2[[#This Row],[id]],Table1[id],0))</f>
        <v>2</v>
      </c>
      <c r="Q23" s="2" t="s">
        <v>305</v>
      </c>
      <c r="R23" s="2"/>
      <c r="S23" s="2"/>
      <c r="T23" s="2" t="s">
        <v>417</v>
      </c>
    </row>
    <row r="24" spans="1:20" ht="43.2" x14ac:dyDescent="0.3">
      <c r="A24" s="2">
        <v>69</v>
      </c>
      <c r="B24" s="2" t="s">
        <v>78</v>
      </c>
      <c r="C24" s="29">
        <v>45608</v>
      </c>
      <c r="D24" s="2" t="s">
        <v>8</v>
      </c>
      <c r="E24" s="2">
        <v>2</v>
      </c>
      <c r="F24" s="2">
        <v>0.7663000226020813</v>
      </c>
      <c r="G24" s="2" t="s">
        <v>538</v>
      </c>
      <c r="I24" s="2">
        <v>16</v>
      </c>
      <c r="J24" s="2" t="s">
        <v>164</v>
      </c>
      <c r="K24" s="2" t="s">
        <v>165</v>
      </c>
      <c r="L24" s="2" t="s">
        <v>145</v>
      </c>
      <c r="M24" s="2" t="s">
        <v>166</v>
      </c>
      <c r="N24" s="2" t="s">
        <v>8</v>
      </c>
      <c r="O24" s="2">
        <f>INDEX(Table1[topic_dominant],MATCH(Table2[[#This Row],[id]],Table1[id],0))</f>
        <v>3</v>
      </c>
      <c r="Q24" s="2" t="s">
        <v>306</v>
      </c>
      <c r="R24" s="2"/>
      <c r="S24" s="2" t="s">
        <v>418</v>
      </c>
      <c r="T24" s="2" t="s">
        <v>419</v>
      </c>
    </row>
    <row r="25" spans="1:20" ht="72" x14ac:dyDescent="0.3">
      <c r="A25" s="2">
        <v>4</v>
      </c>
      <c r="B25" s="2" t="s">
        <v>12</v>
      </c>
      <c r="C25" s="29">
        <v>45597</v>
      </c>
      <c r="D25" s="2" t="s">
        <v>10</v>
      </c>
      <c r="E25" s="2">
        <v>2</v>
      </c>
      <c r="F25" s="2">
        <v>0.76510000228881836</v>
      </c>
      <c r="G25" s="2" t="s">
        <v>478</v>
      </c>
      <c r="I25" s="2">
        <v>16</v>
      </c>
      <c r="J25" s="2" t="s">
        <v>167</v>
      </c>
      <c r="K25" s="2" t="s">
        <v>165</v>
      </c>
      <c r="L25" s="2" t="s">
        <v>145</v>
      </c>
      <c r="M25" s="2" t="s">
        <v>168</v>
      </c>
      <c r="N25" s="2" t="s">
        <v>8</v>
      </c>
      <c r="O25" s="2">
        <f>INDEX(Table1[topic_dominant],MATCH(Table2[[#This Row],[id]],Table1[id],0))</f>
        <v>3</v>
      </c>
      <c r="Q25" s="2" t="s">
        <v>317</v>
      </c>
      <c r="R25" s="2"/>
      <c r="S25" s="2" t="s">
        <v>420</v>
      </c>
      <c r="T25" s="2"/>
    </row>
    <row r="26" spans="1:20" ht="57.6" x14ac:dyDescent="0.3">
      <c r="A26" s="2">
        <v>37</v>
      </c>
      <c r="B26" s="2" t="s">
        <v>45</v>
      </c>
      <c r="C26" s="29">
        <v>45601</v>
      </c>
      <c r="D26" s="2" t="s">
        <v>10</v>
      </c>
      <c r="E26" s="2">
        <v>2</v>
      </c>
      <c r="F26" s="2">
        <v>0.75230002403259277</v>
      </c>
      <c r="G26" s="2" t="s">
        <v>508</v>
      </c>
      <c r="I26" s="2">
        <v>17</v>
      </c>
      <c r="J26" s="2" t="s">
        <v>112</v>
      </c>
      <c r="K26" s="2" t="s">
        <v>129</v>
      </c>
      <c r="L26" s="2" t="s">
        <v>169</v>
      </c>
      <c r="M26" s="2" t="s">
        <v>170</v>
      </c>
      <c r="N26" s="2" t="s">
        <v>10</v>
      </c>
      <c r="O26" s="2">
        <f>INDEX(Table1[topic_dominant],MATCH(Table2[[#This Row],[id]],Table1[id],0))</f>
        <v>3</v>
      </c>
      <c r="Q26" s="2" t="s">
        <v>326</v>
      </c>
      <c r="R26" s="2"/>
      <c r="S26" s="2"/>
      <c r="T26" s="2" t="s">
        <v>421</v>
      </c>
    </row>
    <row r="27" spans="1:20" ht="28.8" x14ac:dyDescent="0.3">
      <c r="A27" s="2">
        <v>35</v>
      </c>
      <c r="B27" s="2" t="s">
        <v>43</v>
      </c>
      <c r="C27" s="29">
        <v>45601</v>
      </c>
      <c r="D27" s="2" t="s">
        <v>10</v>
      </c>
      <c r="E27" s="2">
        <v>2</v>
      </c>
      <c r="F27" s="2">
        <v>0.75120002031326294</v>
      </c>
      <c r="G27" s="2" t="s">
        <v>506</v>
      </c>
      <c r="I27" s="2">
        <v>18</v>
      </c>
      <c r="J27" s="2" t="s">
        <v>157</v>
      </c>
      <c r="K27" s="2" t="s">
        <v>113</v>
      </c>
      <c r="L27" s="2" t="s">
        <v>119</v>
      </c>
      <c r="M27" s="2" t="s">
        <v>171</v>
      </c>
      <c r="N27" s="2" t="s">
        <v>10</v>
      </c>
      <c r="O27" s="2">
        <f>INDEX(Table1[topic_dominant],MATCH(Table2[[#This Row],[id]],Table1[id],0))</f>
        <v>2</v>
      </c>
      <c r="Q27" s="2" t="s">
        <v>333</v>
      </c>
      <c r="R27" s="2"/>
      <c r="S27" s="2" t="s">
        <v>422</v>
      </c>
      <c r="T27" s="2"/>
    </row>
    <row r="28" spans="1:20" ht="28.8" x14ac:dyDescent="0.3">
      <c r="A28" s="2">
        <v>29</v>
      </c>
      <c r="B28" s="2" t="s">
        <v>37</v>
      </c>
      <c r="C28" s="29">
        <v>45600</v>
      </c>
      <c r="D28" s="2" t="s">
        <v>10</v>
      </c>
      <c r="E28" s="2">
        <v>2</v>
      </c>
      <c r="F28" s="2">
        <v>0.74889999628067017</v>
      </c>
      <c r="G28" s="2" t="s">
        <v>502</v>
      </c>
      <c r="I28" s="2">
        <v>18</v>
      </c>
      <c r="J28" s="2" t="s">
        <v>157</v>
      </c>
      <c r="K28" s="2" t="s">
        <v>113</v>
      </c>
      <c r="L28" s="2" t="s">
        <v>172</v>
      </c>
      <c r="M28" s="2" t="s">
        <v>173</v>
      </c>
      <c r="N28" s="2" t="s">
        <v>8</v>
      </c>
      <c r="O28" s="2">
        <f>INDEX(Table1[topic_dominant],MATCH(Table2[[#This Row],[id]],Table1[id],0))</f>
        <v>2</v>
      </c>
      <c r="Q28" s="2" t="s">
        <v>347</v>
      </c>
      <c r="R28" s="2"/>
      <c r="S28" s="2"/>
      <c r="T28" s="2" t="s">
        <v>423</v>
      </c>
    </row>
    <row r="29" spans="1:20" ht="43.2" x14ac:dyDescent="0.3">
      <c r="A29" s="2">
        <v>71</v>
      </c>
      <c r="B29" s="2" t="s">
        <v>80</v>
      </c>
      <c r="C29" s="29">
        <v>45609</v>
      </c>
      <c r="D29" s="2" t="s">
        <v>8</v>
      </c>
      <c r="E29" s="2">
        <v>2</v>
      </c>
      <c r="F29" s="2">
        <v>0.74690002202987671</v>
      </c>
      <c r="G29" s="2" t="s">
        <v>540</v>
      </c>
      <c r="I29" s="2">
        <v>19</v>
      </c>
      <c r="J29" s="2" t="s">
        <v>174</v>
      </c>
      <c r="K29" s="2" t="s">
        <v>113</v>
      </c>
      <c r="L29" s="2" t="s">
        <v>114</v>
      </c>
      <c r="M29" s="2" t="s">
        <v>175</v>
      </c>
      <c r="N29" s="2" t="s">
        <v>8</v>
      </c>
      <c r="O29" s="2">
        <f>INDEX(Table1[topic_dominant],MATCH(Table2[[#This Row],[id]],Table1[id],0))</f>
        <v>3</v>
      </c>
      <c r="Q29" s="2" t="s">
        <v>350</v>
      </c>
      <c r="R29" s="2"/>
      <c r="S29" s="2" t="s">
        <v>424</v>
      </c>
      <c r="T29" s="2"/>
    </row>
    <row r="30" spans="1:20" ht="43.2" x14ac:dyDescent="0.3">
      <c r="A30" s="2">
        <v>74</v>
      </c>
      <c r="B30" s="2" t="s">
        <v>83</v>
      </c>
      <c r="C30" s="29">
        <v>45609</v>
      </c>
      <c r="D30" s="2" t="s">
        <v>8</v>
      </c>
      <c r="E30" s="2">
        <v>2</v>
      </c>
      <c r="F30" s="2">
        <v>0.73809999227523804</v>
      </c>
      <c r="G30" s="2" t="s">
        <v>542</v>
      </c>
      <c r="I30" s="2">
        <v>19</v>
      </c>
      <c r="J30" s="2" t="s">
        <v>112</v>
      </c>
      <c r="K30" s="2" t="s">
        <v>113</v>
      </c>
      <c r="L30" s="2" t="s">
        <v>114</v>
      </c>
      <c r="M30" s="2" t="s">
        <v>175</v>
      </c>
      <c r="N30" s="2" t="s">
        <v>8</v>
      </c>
      <c r="O30" s="2">
        <f>INDEX(Table1[topic_dominant],MATCH(Table2[[#This Row],[id]],Table1[id],0))</f>
        <v>3</v>
      </c>
      <c r="Q30" s="2" t="s">
        <v>360</v>
      </c>
      <c r="R30" s="2"/>
      <c r="S30" s="2"/>
      <c r="T30" s="2" t="s">
        <v>425</v>
      </c>
    </row>
    <row r="31" spans="1:20" ht="72" x14ac:dyDescent="0.3">
      <c r="A31" s="2">
        <v>47</v>
      </c>
      <c r="B31" s="2" t="s">
        <v>55</v>
      </c>
      <c r="C31" s="29">
        <v>45603</v>
      </c>
      <c r="D31" s="2" t="s">
        <v>8</v>
      </c>
      <c r="E31" s="2">
        <v>2</v>
      </c>
      <c r="F31" s="2">
        <v>0.7379000186920166</v>
      </c>
      <c r="G31" s="2" t="s">
        <v>517</v>
      </c>
      <c r="I31" s="2">
        <v>20</v>
      </c>
      <c r="J31" s="2" t="s">
        <v>112</v>
      </c>
      <c r="K31" s="2" t="s">
        <v>129</v>
      </c>
      <c r="L31" s="2" t="s">
        <v>176</v>
      </c>
      <c r="M31" s="2" t="s">
        <v>177</v>
      </c>
      <c r="N31" s="2" t="s">
        <v>10</v>
      </c>
      <c r="O31" s="2">
        <f>INDEX(Table1[topic_dominant],MATCH(Table2[[#This Row],[id]],Table1[id],0))</f>
        <v>1</v>
      </c>
      <c r="Q31" s="2" t="s">
        <v>363</v>
      </c>
      <c r="R31" s="2"/>
      <c r="S31" s="2"/>
      <c r="T31" s="2" t="s">
        <v>426</v>
      </c>
    </row>
    <row r="32" spans="1:20" ht="43.2" x14ac:dyDescent="0.3">
      <c r="A32" s="2">
        <v>36</v>
      </c>
      <c r="B32" s="2" t="s">
        <v>44</v>
      </c>
      <c r="C32" s="29">
        <v>45601</v>
      </c>
      <c r="D32" s="2" t="s">
        <v>8</v>
      </c>
      <c r="E32" s="2">
        <v>2</v>
      </c>
      <c r="F32" s="2">
        <v>0.73489999771118164</v>
      </c>
      <c r="G32" s="2" t="s">
        <v>507</v>
      </c>
      <c r="I32" s="2">
        <v>21</v>
      </c>
      <c r="J32" s="2" t="s">
        <v>112</v>
      </c>
      <c r="K32" s="2" t="s">
        <v>113</v>
      </c>
      <c r="L32" s="2" t="s">
        <v>116</v>
      </c>
      <c r="M32" s="2" t="s">
        <v>178</v>
      </c>
      <c r="N32" s="2" t="s">
        <v>8</v>
      </c>
      <c r="O32" s="2">
        <f>INDEX(Table1[topic_dominant],MATCH(Table2[[#This Row],[id]],Table1[id],0))</f>
        <v>1</v>
      </c>
      <c r="Q32" s="2" t="s">
        <v>373</v>
      </c>
      <c r="R32" s="2"/>
      <c r="S32" s="2" t="s">
        <v>427</v>
      </c>
      <c r="T32" s="2"/>
    </row>
    <row r="33" spans="1:15" ht="100.8" x14ac:dyDescent="0.3">
      <c r="A33" s="2">
        <v>48</v>
      </c>
      <c r="B33" s="2" t="s">
        <v>56</v>
      </c>
      <c r="C33" s="29">
        <v>45604</v>
      </c>
      <c r="D33" s="2" t="s">
        <v>8</v>
      </c>
      <c r="E33" s="2">
        <v>2</v>
      </c>
      <c r="F33" s="2">
        <v>0.73390001058578491</v>
      </c>
      <c r="G33" s="2" t="s">
        <v>518</v>
      </c>
      <c r="I33" s="2">
        <v>21</v>
      </c>
      <c r="J33" s="2" t="s">
        <v>148</v>
      </c>
      <c r="K33" s="2" t="s">
        <v>113</v>
      </c>
      <c r="L33" s="2" t="s">
        <v>116</v>
      </c>
      <c r="M33" s="2" t="s">
        <v>179</v>
      </c>
      <c r="N33" s="2" t="s">
        <v>8</v>
      </c>
      <c r="O33" s="2">
        <f>INDEX(Table1[topic_dominant],MATCH(Table2[[#This Row],[id]],Table1[id],0))</f>
        <v>1</v>
      </c>
    </row>
    <row r="34" spans="1:15" ht="28.8" x14ac:dyDescent="0.3">
      <c r="A34" s="2">
        <v>56</v>
      </c>
      <c r="B34" s="2" t="s">
        <v>64</v>
      </c>
      <c r="C34" s="29">
        <v>45606</v>
      </c>
      <c r="D34" s="2" t="s">
        <v>10</v>
      </c>
      <c r="E34" s="2">
        <v>2</v>
      </c>
      <c r="F34" s="2">
        <v>0.72990000247955322</v>
      </c>
      <c r="G34" s="2" t="s">
        <v>526</v>
      </c>
      <c r="I34" s="2">
        <v>22</v>
      </c>
      <c r="J34" s="2" t="s">
        <v>118</v>
      </c>
      <c r="K34" s="2" t="s">
        <v>113</v>
      </c>
      <c r="L34" s="2" t="s">
        <v>180</v>
      </c>
      <c r="M34" s="2" t="s">
        <v>181</v>
      </c>
      <c r="N34" s="2" t="s">
        <v>8</v>
      </c>
      <c r="O34" s="2">
        <f>INDEX(Table1[topic_dominant],MATCH(Table2[[#This Row],[id]],Table1[id],0))</f>
        <v>3</v>
      </c>
    </row>
    <row r="35" spans="1:15" ht="43.2" x14ac:dyDescent="0.3">
      <c r="A35" s="2">
        <v>31</v>
      </c>
      <c r="B35" s="2" t="s">
        <v>39</v>
      </c>
      <c r="C35" s="29">
        <v>45600</v>
      </c>
      <c r="D35" s="2" t="s">
        <v>10</v>
      </c>
      <c r="E35" s="2">
        <v>2</v>
      </c>
      <c r="F35" s="2">
        <v>0.72369998693466187</v>
      </c>
      <c r="G35" s="2" t="s">
        <v>504</v>
      </c>
      <c r="I35" s="2">
        <v>23</v>
      </c>
      <c r="J35" s="2" t="s">
        <v>182</v>
      </c>
      <c r="K35" s="2" t="s">
        <v>129</v>
      </c>
      <c r="L35" s="2" t="s">
        <v>183</v>
      </c>
      <c r="M35" s="2" t="s">
        <v>184</v>
      </c>
      <c r="N35" s="2" t="s">
        <v>8</v>
      </c>
      <c r="O35" s="2">
        <f>INDEX(Table1[topic_dominant],MATCH(Table2[[#This Row],[id]],Table1[id],0))</f>
        <v>1</v>
      </c>
    </row>
    <row r="36" spans="1:15" ht="43.2" x14ac:dyDescent="0.3">
      <c r="A36" s="2">
        <v>52</v>
      </c>
      <c r="B36" s="2" t="s">
        <v>60</v>
      </c>
      <c r="C36" s="29">
        <v>45605</v>
      </c>
      <c r="D36" s="2" t="s">
        <v>10</v>
      </c>
      <c r="E36" s="2">
        <v>2</v>
      </c>
      <c r="F36" s="2">
        <v>0.7225000262260437</v>
      </c>
      <c r="G36" s="2" t="s">
        <v>522</v>
      </c>
      <c r="I36" s="2">
        <v>23</v>
      </c>
      <c r="J36" s="2" t="s">
        <v>182</v>
      </c>
      <c r="K36" s="2" t="s">
        <v>129</v>
      </c>
      <c r="L36" s="2" t="s">
        <v>183</v>
      </c>
      <c r="M36" s="2" t="s">
        <v>185</v>
      </c>
      <c r="N36" s="2" t="s">
        <v>8</v>
      </c>
      <c r="O36" s="2">
        <f>INDEX(Table1[topic_dominant],MATCH(Table2[[#This Row],[id]],Table1[id],0))</f>
        <v>1</v>
      </c>
    </row>
    <row r="37" spans="1:15" ht="43.2" x14ac:dyDescent="0.3">
      <c r="A37" s="2">
        <v>63</v>
      </c>
      <c r="B37" s="2" t="s">
        <v>72</v>
      </c>
      <c r="C37" s="29">
        <v>45607</v>
      </c>
      <c r="D37" s="2" t="s">
        <v>71</v>
      </c>
      <c r="E37" s="2">
        <v>2</v>
      </c>
      <c r="F37" s="2">
        <v>0.71729999780654907</v>
      </c>
      <c r="G37" s="2" t="s">
        <v>532</v>
      </c>
      <c r="I37" s="2">
        <v>24</v>
      </c>
      <c r="J37" s="2" t="s">
        <v>174</v>
      </c>
      <c r="K37" s="2" t="s">
        <v>129</v>
      </c>
      <c r="L37" s="2" t="s">
        <v>141</v>
      </c>
      <c r="M37" s="2" t="s">
        <v>186</v>
      </c>
      <c r="N37" s="2" t="s">
        <v>10</v>
      </c>
      <c r="O37" s="2">
        <f>INDEX(Table1[topic_dominant],MATCH(Table2[[#This Row],[id]],Table1[id],0))</f>
        <v>3</v>
      </c>
    </row>
    <row r="38" spans="1:15" ht="57.6" x14ac:dyDescent="0.3">
      <c r="A38" s="2">
        <v>65</v>
      </c>
      <c r="B38" s="2" t="s">
        <v>74</v>
      </c>
      <c r="C38" s="29">
        <v>45607</v>
      </c>
      <c r="D38" s="2" t="s">
        <v>8</v>
      </c>
      <c r="E38" s="2">
        <v>2</v>
      </c>
      <c r="F38" s="2">
        <v>0.71109998226165771</v>
      </c>
      <c r="G38" s="2" t="s">
        <v>534</v>
      </c>
      <c r="I38" s="2">
        <v>25</v>
      </c>
      <c r="J38" s="2" t="s">
        <v>157</v>
      </c>
      <c r="K38" s="2" t="s">
        <v>113</v>
      </c>
      <c r="L38" s="2" t="s">
        <v>187</v>
      </c>
      <c r="M38" s="2" t="s">
        <v>188</v>
      </c>
      <c r="N38" s="2" t="s">
        <v>10</v>
      </c>
      <c r="O38" s="2">
        <f>INDEX(Table1[topic_dominant],MATCH(Table2[[#This Row],[id]],Table1[id],0))</f>
        <v>1</v>
      </c>
    </row>
    <row r="39" spans="1:15" ht="43.2" x14ac:dyDescent="0.3">
      <c r="A39" s="2">
        <v>82</v>
      </c>
      <c r="B39" s="2" t="s">
        <v>91</v>
      </c>
      <c r="C39" s="29">
        <v>45610</v>
      </c>
      <c r="D39" s="2" t="s">
        <v>71</v>
      </c>
      <c r="E39" s="2">
        <v>2</v>
      </c>
      <c r="F39" s="2">
        <v>0.70819997787475586</v>
      </c>
      <c r="G39" s="2" t="s">
        <v>550</v>
      </c>
      <c r="I39" s="2">
        <v>26</v>
      </c>
      <c r="J39" s="2" t="s">
        <v>182</v>
      </c>
      <c r="K39" s="2" t="s">
        <v>129</v>
      </c>
      <c r="L39" s="2" t="s">
        <v>189</v>
      </c>
      <c r="M39" s="2" t="s">
        <v>190</v>
      </c>
      <c r="N39" s="2" t="s">
        <v>8</v>
      </c>
      <c r="O39" s="2">
        <f>INDEX(Table1[topic_dominant],MATCH(Table2[[#This Row],[id]],Table1[id],0))</f>
        <v>1</v>
      </c>
    </row>
    <row r="40" spans="1:15" ht="43.2" x14ac:dyDescent="0.3">
      <c r="A40" s="2">
        <v>86</v>
      </c>
      <c r="B40" s="2" t="s">
        <v>95</v>
      </c>
      <c r="C40" s="29">
        <v>45610</v>
      </c>
      <c r="D40" s="2" t="s">
        <v>8</v>
      </c>
      <c r="E40" s="2">
        <v>2</v>
      </c>
      <c r="F40" s="2">
        <v>0.70819997787475586</v>
      </c>
      <c r="G40" s="2" t="s">
        <v>554</v>
      </c>
      <c r="I40" s="2">
        <v>27</v>
      </c>
      <c r="J40" s="2" t="s">
        <v>112</v>
      </c>
      <c r="K40" s="2" t="s">
        <v>129</v>
      </c>
      <c r="L40" s="2" t="s">
        <v>191</v>
      </c>
      <c r="M40" s="2" t="s">
        <v>192</v>
      </c>
      <c r="N40" s="2" t="s">
        <v>8</v>
      </c>
      <c r="O40" s="2">
        <f>INDEX(Table1[topic_dominant],MATCH(Table2[[#This Row],[id]],Table1[id],0))</f>
        <v>2</v>
      </c>
    </row>
    <row r="41" spans="1:15" ht="43.2" x14ac:dyDescent="0.3">
      <c r="A41" s="2">
        <v>9</v>
      </c>
      <c r="B41" s="2" t="s">
        <v>17</v>
      </c>
      <c r="C41" s="29">
        <v>45597</v>
      </c>
      <c r="D41" s="2" t="s">
        <v>10</v>
      </c>
      <c r="E41" s="2">
        <v>2</v>
      </c>
      <c r="F41" s="2">
        <v>0.70779997110366821</v>
      </c>
      <c r="G41" s="2" t="s">
        <v>483</v>
      </c>
      <c r="I41" s="2">
        <v>28</v>
      </c>
      <c r="J41" s="2" t="s">
        <v>112</v>
      </c>
      <c r="K41" s="2" t="s">
        <v>129</v>
      </c>
      <c r="L41" s="2" t="s">
        <v>193</v>
      </c>
      <c r="M41" s="2" t="s">
        <v>194</v>
      </c>
      <c r="N41" s="2" t="s">
        <v>8</v>
      </c>
      <c r="O41" s="2">
        <f>INDEX(Table1[topic_dominant],MATCH(Table2[[#This Row],[id]],Table1[id],0))</f>
        <v>3</v>
      </c>
    </row>
    <row r="42" spans="1:15" ht="43.2" x14ac:dyDescent="0.3">
      <c r="A42" s="2">
        <v>14</v>
      </c>
      <c r="B42" s="2" t="s">
        <v>22</v>
      </c>
      <c r="C42" s="29">
        <v>45597</v>
      </c>
      <c r="D42" s="2" t="s">
        <v>10</v>
      </c>
      <c r="E42" s="2">
        <v>2</v>
      </c>
      <c r="F42" s="2">
        <v>0.70670002698898315</v>
      </c>
      <c r="G42" s="2" t="s">
        <v>487</v>
      </c>
      <c r="I42" s="2">
        <v>28</v>
      </c>
      <c r="J42" s="2" t="s">
        <v>182</v>
      </c>
      <c r="K42" s="2" t="s">
        <v>129</v>
      </c>
      <c r="L42" s="2" t="s">
        <v>195</v>
      </c>
      <c r="M42" s="2" t="s">
        <v>196</v>
      </c>
      <c r="N42" s="2" t="s">
        <v>10</v>
      </c>
      <c r="O42" s="2">
        <f>INDEX(Table1[topic_dominant],MATCH(Table2[[#This Row],[id]],Table1[id],0))</f>
        <v>3</v>
      </c>
    </row>
    <row r="43" spans="1:15" ht="72" x14ac:dyDescent="0.3">
      <c r="A43" s="2">
        <v>67</v>
      </c>
      <c r="B43" s="2" t="s">
        <v>76</v>
      </c>
      <c r="C43" s="29">
        <v>45608</v>
      </c>
      <c r="D43" s="2" t="s">
        <v>8</v>
      </c>
      <c r="E43" s="2">
        <v>2</v>
      </c>
      <c r="F43" s="2">
        <v>0.70399999618530273</v>
      </c>
      <c r="G43" s="2" t="s">
        <v>536</v>
      </c>
      <c r="I43" s="2">
        <v>29</v>
      </c>
      <c r="J43" s="2" t="s">
        <v>197</v>
      </c>
      <c r="K43" s="2" t="s">
        <v>129</v>
      </c>
      <c r="L43" s="2" t="s">
        <v>198</v>
      </c>
      <c r="M43" s="2" t="s">
        <v>199</v>
      </c>
      <c r="N43" s="2" t="s">
        <v>10</v>
      </c>
      <c r="O43" s="2">
        <f>INDEX(Table1[topic_dominant],MATCH(Table2[[#This Row],[id]],Table1[id],0))</f>
        <v>2</v>
      </c>
    </row>
    <row r="44" spans="1:15" ht="43.2" x14ac:dyDescent="0.3">
      <c r="A44" s="2">
        <v>15</v>
      </c>
      <c r="B44" s="2" t="s">
        <v>23</v>
      </c>
      <c r="C44" s="29">
        <v>45597</v>
      </c>
      <c r="D44" s="2" t="s">
        <v>10</v>
      </c>
      <c r="E44" s="2">
        <v>2</v>
      </c>
      <c r="F44" s="2">
        <v>0.70200002193450928</v>
      </c>
      <c r="G44" s="2" t="s">
        <v>488</v>
      </c>
      <c r="I44" s="2">
        <v>29</v>
      </c>
      <c r="J44" s="2" t="s">
        <v>182</v>
      </c>
      <c r="K44" s="2" t="s">
        <v>129</v>
      </c>
      <c r="L44" s="2" t="s">
        <v>198</v>
      </c>
      <c r="M44" s="2" t="s">
        <v>199</v>
      </c>
      <c r="N44" s="2" t="s">
        <v>10</v>
      </c>
      <c r="O44" s="2">
        <f>INDEX(Table1[topic_dominant],MATCH(Table2[[#This Row],[id]],Table1[id],0))</f>
        <v>2</v>
      </c>
    </row>
    <row r="45" spans="1:15" ht="72" x14ac:dyDescent="0.3">
      <c r="A45" s="2">
        <v>38</v>
      </c>
      <c r="B45" s="2" t="s">
        <v>46</v>
      </c>
      <c r="C45" s="29">
        <v>45601</v>
      </c>
      <c r="D45" s="2" t="s">
        <v>8</v>
      </c>
      <c r="E45" s="2">
        <v>2</v>
      </c>
      <c r="F45" s="2">
        <v>0.7006000280380249</v>
      </c>
      <c r="G45" s="2" t="s">
        <v>509</v>
      </c>
      <c r="I45" s="2">
        <v>30</v>
      </c>
      <c r="J45" s="2" t="s">
        <v>112</v>
      </c>
      <c r="K45" s="2" t="s">
        <v>113</v>
      </c>
      <c r="L45" s="2" t="s">
        <v>200</v>
      </c>
      <c r="M45" s="2" t="s">
        <v>201</v>
      </c>
      <c r="N45" s="2" t="s">
        <v>8</v>
      </c>
      <c r="O45" s="2">
        <f>INDEX(Table1[topic_dominant],MATCH(Table2[[#This Row],[id]],Table1[id],0))</f>
        <v>2</v>
      </c>
    </row>
    <row r="46" spans="1:15" ht="43.2" x14ac:dyDescent="0.3">
      <c r="A46" s="2">
        <v>70</v>
      </c>
      <c r="B46" s="2" t="s">
        <v>79</v>
      </c>
      <c r="C46" s="29">
        <v>45608</v>
      </c>
      <c r="D46" s="2" t="s">
        <v>71</v>
      </c>
      <c r="E46" s="2">
        <v>2</v>
      </c>
      <c r="F46" s="2">
        <v>0.70029997825622559</v>
      </c>
      <c r="G46" s="2" t="s">
        <v>539</v>
      </c>
      <c r="I46" s="2">
        <v>31</v>
      </c>
      <c r="J46" s="2" t="s">
        <v>148</v>
      </c>
      <c r="K46" s="2" t="s">
        <v>113</v>
      </c>
      <c r="L46" s="2" t="s">
        <v>158</v>
      </c>
      <c r="M46" s="2" t="s">
        <v>202</v>
      </c>
      <c r="N46" s="2" t="s">
        <v>10</v>
      </c>
      <c r="O46" s="2">
        <f>INDEX(Table1[topic_dominant],MATCH(Table2[[#This Row],[id]],Table1[id],0))</f>
        <v>2</v>
      </c>
    </row>
    <row r="47" spans="1:15" ht="43.2" x14ac:dyDescent="0.3">
      <c r="A47" s="2">
        <v>43</v>
      </c>
      <c r="B47" s="2" t="s">
        <v>51</v>
      </c>
      <c r="C47" s="29">
        <v>45602</v>
      </c>
      <c r="D47" s="2" t="s">
        <v>10</v>
      </c>
      <c r="E47" s="2">
        <v>2</v>
      </c>
      <c r="F47" s="2">
        <v>0.69809997081756592</v>
      </c>
      <c r="G47" s="2" t="s">
        <v>514</v>
      </c>
      <c r="I47" s="2">
        <v>31</v>
      </c>
      <c r="J47" s="2" t="s">
        <v>182</v>
      </c>
      <c r="K47" s="2" t="s">
        <v>113</v>
      </c>
      <c r="L47" s="2" t="s">
        <v>158</v>
      </c>
      <c r="M47" s="2" t="s">
        <v>203</v>
      </c>
      <c r="N47" s="2" t="s">
        <v>10</v>
      </c>
      <c r="O47" s="2">
        <f>INDEX(Table1[topic_dominant],MATCH(Table2[[#This Row],[id]],Table1[id],0))</f>
        <v>2</v>
      </c>
    </row>
    <row r="48" spans="1:15" ht="28.8" x14ac:dyDescent="0.3">
      <c r="A48" s="2">
        <v>27</v>
      </c>
      <c r="B48" s="2" t="s">
        <v>35</v>
      </c>
      <c r="C48" s="29">
        <v>45600</v>
      </c>
      <c r="D48" s="2" t="s">
        <v>8</v>
      </c>
      <c r="E48" s="2">
        <v>2</v>
      </c>
      <c r="F48" s="2">
        <v>0.69749999046325684</v>
      </c>
      <c r="G48" s="2" t="s">
        <v>500</v>
      </c>
      <c r="I48" s="2">
        <v>33</v>
      </c>
      <c r="J48" s="2" t="s">
        <v>182</v>
      </c>
      <c r="K48" s="2" t="s">
        <v>113</v>
      </c>
      <c r="L48" s="2" t="s">
        <v>119</v>
      </c>
      <c r="M48" s="2" t="s">
        <v>204</v>
      </c>
      <c r="N48" s="2" t="s">
        <v>10</v>
      </c>
      <c r="O48" s="2">
        <f>INDEX(Table1[topic_dominant],MATCH(Table2[[#This Row],[id]],Table1[id],0))</f>
        <v>2</v>
      </c>
    </row>
    <row r="49" spans="1:15" ht="43.2" x14ac:dyDescent="0.3">
      <c r="A49" s="2">
        <v>55</v>
      </c>
      <c r="B49" s="2" t="s">
        <v>63</v>
      </c>
      <c r="C49" s="29">
        <v>45606</v>
      </c>
      <c r="D49" s="2" t="s">
        <v>8</v>
      </c>
      <c r="E49" s="2">
        <v>2</v>
      </c>
      <c r="F49" s="2">
        <v>0.69489997625350952</v>
      </c>
      <c r="G49" s="2" t="s">
        <v>525</v>
      </c>
      <c r="I49" s="2">
        <v>35</v>
      </c>
      <c r="J49" s="2" t="s">
        <v>205</v>
      </c>
      <c r="K49" s="2" t="s">
        <v>113</v>
      </c>
      <c r="L49" s="2" t="s">
        <v>206</v>
      </c>
      <c r="M49" s="2" t="s">
        <v>207</v>
      </c>
      <c r="N49" s="2" t="s">
        <v>10</v>
      </c>
      <c r="O49" s="2">
        <f>INDEX(Table1[topic_dominant],MATCH(Table2[[#This Row],[id]],Table1[id],0))</f>
        <v>2</v>
      </c>
    </row>
    <row r="50" spans="1:15" ht="43.2" x14ac:dyDescent="0.3">
      <c r="A50" s="2">
        <v>30</v>
      </c>
      <c r="B50" s="2" t="s">
        <v>38</v>
      </c>
      <c r="C50" s="29">
        <v>45600</v>
      </c>
      <c r="D50" s="2" t="s">
        <v>8</v>
      </c>
      <c r="E50" s="2">
        <v>2</v>
      </c>
      <c r="F50" s="2">
        <v>0.69340002536773682</v>
      </c>
      <c r="G50" s="2" t="s">
        <v>503</v>
      </c>
      <c r="I50" s="2">
        <v>35</v>
      </c>
      <c r="J50" s="2" t="s">
        <v>112</v>
      </c>
      <c r="K50" s="2" t="s">
        <v>113</v>
      </c>
      <c r="L50" s="2" t="s">
        <v>208</v>
      </c>
      <c r="M50" s="2" t="s">
        <v>209</v>
      </c>
      <c r="N50" s="2" t="s">
        <v>10</v>
      </c>
      <c r="O50" s="2">
        <f>INDEX(Table1[topic_dominant],MATCH(Table2[[#This Row],[id]],Table1[id],0))</f>
        <v>2</v>
      </c>
    </row>
    <row r="51" spans="1:15" ht="43.2" x14ac:dyDescent="0.3">
      <c r="A51" s="2">
        <v>45</v>
      </c>
      <c r="B51" s="2" t="s">
        <v>53</v>
      </c>
      <c r="C51" s="29">
        <v>45603</v>
      </c>
      <c r="D51" s="2" t="s">
        <v>8</v>
      </c>
      <c r="E51" s="2">
        <v>2</v>
      </c>
      <c r="F51" s="2">
        <v>0.69340002536773682</v>
      </c>
      <c r="G51" s="2" t="s">
        <v>515</v>
      </c>
      <c r="I51" s="2">
        <v>36</v>
      </c>
      <c r="J51" s="2" t="s">
        <v>182</v>
      </c>
      <c r="K51" s="2" t="s">
        <v>129</v>
      </c>
      <c r="L51" s="2" t="s">
        <v>210</v>
      </c>
      <c r="M51" s="2" t="s">
        <v>211</v>
      </c>
      <c r="N51" s="2" t="s">
        <v>8</v>
      </c>
      <c r="O51" s="2">
        <f>INDEX(Table1[topic_dominant],MATCH(Table2[[#This Row],[id]],Table1[id],0))</f>
        <v>2</v>
      </c>
    </row>
    <row r="52" spans="1:15" ht="28.8" x14ac:dyDescent="0.3">
      <c r="A52" s="2">
        <v>59</v>
      </c>
      <c r="B52" s="2" t="s">
        <v>67</v>
      </c>
      <c r="C52" s="29">
        <v>45606</v>
      </c>
      <c r="D52" s="2" t="s">
        <v>10</v>
      </c>
      <c r="E52" s="2">
        <v>2</v>
      </c>
      <c r="F52" s="2">
        <v>0.68269997835159302</v>
      </c>
      <c r="G52" s="2" t="s">
        <v>529</v>
      </c>
      <c r="I52" s="2">
        <v>37</v>
      </c>
      <c r="J52" s="2" t="s">
        <v>157</v>
      </c>
      <c r="K52" s="2" t="s">
        <v>129</v>
      </c>
      <c r="L52" s="2" t="s">
        <v>212</v>
      </c>
      <c r="M52" s="2" t="s">
        <v>213</v>
      </c>
      <c r="N52" s="2" t="s">
        <v>10</v>
      </c>
      <c r="O52" s="2">
        <f>INDEX(Table1[topic_dominant],MATCH(Table2[[#This Row],[id]],Table1[id],0))</f>
        <v>2</v>
      </c>
    </row>
    <row r="53" spans="1:15" ht="43.2" x14ac:dyDescent="0.3">
      <c r="A53" s="2">
        <v>33</v>
      </c>
      <c r="B53" s="2" t="s">
        <v>41</v>
      </c>
      <c r="C53" s="29">
        <v>45600</v>
      </c>
      <c r="D53" s="2" t="s">
        <v>10</v>
      </c>
      <c r="E53" s="2">
        <v>2</v>
      </c>
      <c r="F53" s="2">
        <v>0.67059999704360962</v>
      </c>
      <c r="G53" s="2" t="s">
        <v>505</v>
      </c>
      <c r="I53" s="2">
        <v>37</v>
      </c>
      <c r="J53" s="2" t="s">
        <v>214</v>
      </c>
      <c r="K53" s="2" t="s">
        <v>129</v>
      </c>
      <c r="L53" s="2" t="s">
        <v>212</v>
      </c>
      <c r="M53" s="2" t="s">
        <v>213</v>
      </c>
      <c r="N53" s="2" t="s">
        <v>10</v>
      </c>
      <c r="O53" s="2">
        <f>INDEX(Table1[topic_dominant],MATCH(Table2[[#This Row],[id]],Table1[id],0))</f>
        <v>2</v>
      </c>
    </row>
    <row r="54" spans="1:15" ht="28.8" x14ac:dyDescent="0.3">
      <c r="A54" s="2">
        <v>72</v>
      </c>
      <c r="B54" s="2" t="s">
        <v>81</v>
      </c>
      <c r="C54" s="29">
        <v>45609</v>
      </c>
      <c r="D54" s="2" t="s">
        <v>10</v>
      </c>
      <c r="E54" s="2">
        <v>2</v>
      </c>
      <c r="F54" s="2">
        <v>0.65759998559951782</v>
      </c>
      <c r="G54" s="2" t="s">
        <v>541</v>
      </c>
      <c r="I54" s="2">
        <v>38</v>
      </c>
      <c r="J54" s="2" t="s">
        <v>157</v>
      </c>
      <c r="K54" s="2" t="s">
        <v>113</v>
      </c>
      <c r="L54" s="2" t="s">
        <v>215</v>
      </c>
      <c r="M54" s="2" t="s">
        <v>216</v>
      </c>
      <c r="N54" s="2" t="s">
        <v>8</v>
      </c>
      <c r="O54" s="2">
        <f>INDEX(Table1[topic_dominant],MATCH(Table2[[#This Row],[id]],Table1[id],0))</f>
        <v>2</v>
      </c>
    </row>
    <row r="55" spans="1:15" ht="57.6" x14ac:dyDescent="0.3">
      <c r="A55" s="2">
        <v>92</v>
      </c>
      <c r="B55" s="2" t="s">
        <v>101</v>
      </c>
      <c r="C55" s="29">
        <v>45612</v>
      </c>
      <c r="D55" s="2" t="s">
        <v>8</v>
      </c>
      <c r="E55" s="2">
        <v>2</v>
      </c>
      <c r="F55" s="2">
        <v>0.633899986743927</v>
      </c>
      <c r="G55" s="2" t="s">
        <v>560</v>
      </c>
      <c r="I55" s="2">
        <v>38</v>
      </c>
      <c r="J55" s="2" t="s">
        <v>157</v>
      </c>
      <c r="K55" s="2" t="s">
        <v>165</v>
      </c>
      <c r="L55" s="2" t="s">
        <v>215</v>
      </c>
      <c r="M55" s="2" t="s">
        <v>216</v>
      </c>
      <c r="N55" s="2" t="s">
        <v>8</v>
      </c>
      <c r="O55" s="2">
        <f>INDEX(Table1[topic_dominant],MATCH(Table2[[#This Row],[id]],Table1[id],0))</f>
        <v>2</v>
      </c>
    </row>
    <row r="56" spans="1:15" ht="43.2" x14ac:dyDescent="0.3">
      <c r="A56" s="2">
        <v>8</v>
      </c>
      <c r="B56" s="2" t="s">
        <v>16</v>
      </c>
      <c r="C56" s="29">
        <v>45597</v>
      </c>
      <c r="D56" s="2" t="s">
        <v>10</v>
      </c>
      <c r="E56" s="2">
        <v>2</v>
      </c>
      <c r="F56" s="2">
        <v>0.56849998235702515</v>
      </c>
      <c r="G56" s="2" t="s">
        <v>482</v>
      </c>
      <c r="I56" s="2">
        <v>39</v>
      </c>
      <c r="J56" s="2" t="s">
        <v>182</v>
      </c>
      <c r="K56" s="2" t="s">
        <v>129</v>
      </c>
      <c r="L56" s="2" t="s">
        <v>217</v>
      </c>
      <c r="M56" s="2" t="s">
        <v>218</v>
      </c>
      <c r="N56" s="2" t="s">
        <v>10</v>
      </c>
      <c r="O56" s="2">
        <f>INDEX(Table1[topic_dominant],MATCH(Table2[[#This Row],[id]],Table1[id],0))</f>
        <v>3</v>
      </c>
    </row>
    <row r="57" spans="1:15" ht="72" x14ac:dyDescent="0.3">
      <c r="A57" s="2">
        <v>18</v>
      </c>
      <c r="B57" s="2" t="s">
        <v>26</v>
      </c>
      <c r="C57" s="29">
        <v>45598</v>
      </c>
      <c r="D57" s="2" t="s">
        <v>8</v>
      </c>
      <c r="E57" s="2">
        <v>2</v>
      </c>
      <c r="F57" s="2">
        <v>0.54369997978210449</v>
      </c>
      <c r="G57" s="2" t="s">
        <v>491</v>
      </c>
      <c r="I57" s="2">
        <v>39</v>
      </c>
      <c r="J57" s="2" t="s">
        <v>182</v>
      </c>
      <c r="K57" s="2" t="s">
        <v>129</v>
      </c>
      <c r="L57" s="2" t="s">
        <v>217</v>
      </c>
      <c r="M57" s="2" t="s">
        <v>219</v>
      </c>
      <c r="N57" s="2" t="s">
        <v>10</v>
      </c>
      <c r="O57" s="2">
        <f>INDEX(Table1[topic_dominant],MATCH(Table2[[#This Row],[id]],Table1[id],0))</f>
        <v>3</v>
      </c>
    </row>
    <row r="58" spans="1:15" ht="43.2" x14ac:dyDescent="0.3">
      <c r="A58" s="2">
        <v>40</v>
      </c>
      <c r="B58" s="2" t="s">
        <v>48</v>
      </c>
      <c r="C58" s="29">
        <v>45602</v>
      </c>
      <c r="D58" s="2" t="s">
        <v>8</v>
      </c>
      <c r="E58" s="2">
        <v>2</v>
      </c>
      <c r="F58" s="2">
        <v>0.52369999885559082</v>
      </c>
      <c r="G58" s="2" t="s">
        <v>511</v>
      </c>
      <c r="I58" s="2">
        <v>39</v>
      </c>
      <c r="J58" s="2" t="s">
        <v>182</v>
      </c>
      <c r="K58" s="2" t="s">
        <v>129</v>
      </c>
      <c r="L58" s="2" t="s">
        <v>217</v>
      </c>
      <c r="M58" s="2" t="s">
        <v>220</v>
      </c>
      <c r="N58" s="2" t="s">
        <v>10</v>
      </c>
      <c r="O58" s="2">
        <f>INDEX(Table1[topic_dominant],MATCH(Table2[[#This Row],[id]],Table1[id],0))</f>
        <v>3</v>
      </c>
    </row>
    <row r="59" spans="1:15" ht="43.2" x14ac:dyDescent="0.3">
      <c r="A59" s="2">
        <v>61</v>
      </c>
      <c r="B59" s="2" t="s">
        <v>69</v>
      </c>
      <c r="C59" s="29">
        <v>45606</v>
      </c>
      <c r="D59" s="2" t="s">
        <v>8</v>
      </c>
      <c r="E59" s="2">
        <v>2</v>
      </c>
      <c r="F59" s="2">
        <v>0.40149998664855963</v>
      </c>
      <c r="G59" s="2" t="s">
        <v>530</v>
      </c>
      <c r="I59" s="2">
        <v>40</v>
      </c>
      <c r="J59" s="2" t="s">
        <v>221</v>
      </c>
      <c r="K59" s="2" t="s">
        <v>129</v>
      </c>
      <c r="L59" s="2" t="s">
        <v>222</v>
      </c>
      <c r="M59" s="2" t="s">
        <v>223</v>
      </c>
      <c r="N59" s="2" t="s">
        <v>8</v>
      </c>
      <c r="O59" s="2">
        <f>INDEX(Table1[topic_dominant],MATCH(Table2[[#This Row],[id]],Table1[id],0))</f>
        <v>2</v>
      </c>
    </row>
    <row r="60" spans="1:15" ht="43.2" x14ac:dyDescent="0.3">
      <c r="A60" s="2">
        <v>44</v>
      </c>
      <c r="B60" s="2" t="s">
        <v>52</v>
      </c>
      <c r="C60" s="29">
        <v>45603</v>
      </c>
      <c r="D60" s="2" t="s">
        <v>10</v>
      </c>
      <c r="E60" s="2">
        <v>2</v>
      </c>
      <c r="F60" s="2">
        <v>0.40149998664855963</v>
      </c>
      <c r="G60" s="2" t="s">
        <v>514</v>
      </c>
      <c r="I60" s="2">
        <v>40</v>
      </c>
      <c r="J60" s="2" t="s">
        <v>112</v>
      </c>
      <c r="K60" s="2" t="s">
        <v>129</v>
      </c>
      <c r="L60" s="2" t="s">
        <v>222</v>
      </c>
      <c r="M60" s="2" t="s">
        <v>223</v>
      </c>
      <c r="N60" s="2" t="s">
        <v>8</v>
      </c>
      <c r="O60" s="2">
        <f>INDEX(Table1[topic_dominant],MATCH(Table2[[#This Row],[id]],Table1[id],0))</f>
        <v>2</v>
      </c>
    </row>
    <row r="61" spans="1:15" ht="43.2" x14ac:dyDescent="0.3">
      <c r="A61" s="2">
        <v>10</v>
      </c>
      <c r="B61" s="2" t="s">
        <v>18</v>
      </c>
      <c r="C61" s="29">
        <v>45597</v>
      </c>
      <c r="D61" s="2" t="s">
        <v>10</v>
      </c>
      <c r="E61" s="2">
        <v>2</v>
      </c>
      <c r="F61" s="2">
        <v>0.40149998664855963</v>
      </c>
      <c r="G61" s="2" t="s">
        <v>483</v>
      </c>
      <c r="I61" s="2">
        <v>41</v>
      </c>
      <c r="J61" s="2" t="s">
        <v>224</v>
      </c>
      <c r="K61" s="2" t="s">
        <v>113</v>
      </c>
      <c r="L61" s="2" t="s">
        <v>124</v>
      </c>
      <c r="M61" s="2" t="s">
        <v>225</v>
      </c>
      <c r="N61" s="2" t="s">
        <v>10</v>
      </c>
      <c r="O61" s="2">
        <f>INDEX(Table1[topic_dominant],MATCH(Table2[[#This Row],[id]],Table1[id],0))</f>
        <v>3</v>
      </c>
    </row>
    <row r="62" spans="1:15" ht="28.8" x14ac:dyDescent="0.3">
      <c r="A62" s="2">
        <v>73</v>
      </c>
      <c r="B62" s="2" t="s">
        <v>82</v>
      </c>
      <c r="C62" s="29">
        <v>45609</v>
      </c>
      <c r="D62" s="2" t="s">
        <v>10</v>
      </c>
      <c r="E62" s="2">
        <v>2</v>
      </c>
      <c r="F62" s="2">
        <v>0.40149998664855963</v>
      </c>
      <c r="G62" s="2" t="s">
        <v>541</v>
      </c>
      <c r="I62" s="2">
        <v>42</v>
      </c>
      <c r="J62" s="2" t="s">
        <v>226</v>
      </c>
      <c r="K62" s="2" t="s">
        <v>113</v>
      </c>
      <c r="L62" s="2" t="s">
        <v>227</v>
      </c>
      <c r="M62" s="2" t="s">
        <v>228</v>
      </c>
      <c r="N62" s="2" t="s">
        <v>10</v>
      </c>
      <c r="O62" s="2">
        <f>INDEX(Table1[topic_dominant],MATCH(Table2[[#This Row],[id]],Table1[id],0))</f>
        <v>1</v>
      </c>
    </row>
    <row r="63" spans="1:15" ht="28.8" x14ac:dyDescent="0.3">
      <c r="A63" s="2">
        <v>34</v>
      </c>
      <c r="B63" s="2" t="s">
        <v>42</v>
      </c>
      <c r="C63" s="29">
        <v>45600</v>
      </c>
      <c r="D63" s="2" t="s">
        <v>10</v>
      </c>
      <c r="E63" s="2">
        <v>2</v>
      </c>
      <c r="F63" s="2">
        <v>0.40149998664855963</v>
      </c>
      <c r="G63" s="2" t="s">
        <v>505</v>
      </c>
      <c r="I63" s="2">
        <v>43</v>
      </c>
      <c r="J63" s="2" t="s">
        <v>182</v>
      </c>
      <c r="K63" s="2" t="s">
        <v>113</v>
      </c>
      <c r="L63" s="2" t="s">
        <v>229</v>
      </c>
      <c r="M63" s="2" t="s">
        <v>230</v>
      </c>
      <c r="N63" s="2" t="s">
        <v>10</v>
      </c>
      <c r="O63" s="2">
        <f>INDEX(Table1[topic_dominant],MATCH(Table2[[#This Row],[id]],Table1[id],0))</f>
        <v>2</v>
      </c>
    </row>
    <row r="64" spans="1:15" ht="43.2" x14ac:dyDescent="0.3">
      <c r="A64" s="2">
        <v>32</v>
      </c>
      <c r="B64" s="2" t="s">
        <v>40</v>
      </c>
      <c r="C64" s="29">
        <v>45600</v>
      </c>
      <c r="D64" s="2" t="s">
        <v>10</v>
      </c>
      <c r="E64" s="2">
        <v>2</v>
      </c>
      <c r="F64" s="2">
        <v>0.40149998664855963</v>
      </c>
      <c r="G64" s="2" t="s">
        <v>504</v>
      </c>
      <c r="I64" s="2">
        <v>43</v>
      </c>
      <c r="J64" s="2" t="s">
        <v>112</v>
      </c>
      <c r="K64" s="2" t="s">
        <v>129</v>
      </c>
      <c r="L64" s="2" t="s">
        <v>231</v>
      </c>
      <c r="M64" s="2" t="s">
        <v>232</v>
      </c>
      <c r="N64" s="2" t="s">
        <v>10</v>
      </c>
      <c r="O64" s="2">
        <f>INDEX(Table1[topic_dominant],MATCH(Table2[[#This Row],[id]],Table1[id],0))</f>
        <v>2</v>
      </c>
    </row>
    <row r="65" spans="1:15" ht="28.8" x14ac:dyDescent="0.3">
      <c r="A65" s="2">
        <v>97</v>
      </c>
      <c r="B65" s="2" t="s">
        <v>106</v>
      </c>
      <c r="C65" s="29">
        <v>45613</v>
      </c>
      <c r="D65" s="2" t="s">
        <v>8</v>
      </c>
      <c r="E65" s="2">
        <v>2</v>
      </c>
      <c r="F65" s="2">
        <v>0.40149998664855963</v>
      </c>
      <c r="G65" s="2" t="s">
        <v>543</v>
      </c>
      <c r="I65" s="2">
        <v>45</v>
      </c>
      <c r="J65" s="2" t="s">
        <v>112</v>
      </c>
      <c r="K65" s="2" t="s">
        <v>113</v>
      </c>
      <c r="L65" s="2" t="s">
        <v>233</v>
      </c>
      <c r="M65" s="2" t="s">
        <v>234</v>
      </c>
      <c r="N65" s="2" t="s">
        <v>8</v>
      </c>
      <c r="O65" s="2">
        <f>INDEX(Table1[topic_dominant],MATCH(Table2[[#This Row],[id]],Table1[id],0))</f>
        <v>2</v>
      </c>
    </row>
    <row r="66" spans="1:15" ht="72" x14ac:dyDescent="0.3">
      <c r="A66" s="2">
        <v>99</v>
      </c>
      <c r="B66" s="2" t="s">
        <v>108</v>
      </c>
      <c r="C66" s="29">
        <v>45613</v>
      </c>
      <c r="D66" s="2" t="s">
        <v>8</v>
      </c>
      <c r="E66" s="2">
        <v>2</v>
      </c>
      <c r="F66" s="2">
        <v>0.40149998664855963</v>
      </c>
      <c r="G66" s="2" t="s">
        <v>564</v>
      </c>
      <c r="I66" s="2">
        <v>46</v>
      </c>
      <c r="J66" s="2" t="s">
        <v>112</v>
      </c>
      <c r="K66" s="2" t="s">
        <v>129</v>
      </c>
      <c r="L66" s="2" t="s">
        <v>198</v>
      </c>
      <c r="M66" s="2" t="s">
        <v>235</v>
      </c>
      <c r="N66" s="2" t="s">
        <v>10</v>
      </c>
      <c r="O66" s="2">
        <f>INDEX(Table1[topic_dominant],MATCH(Table2[[#This Row],[id]],Table1[id],0))</f>
        <v>3</v>
      </c>
    </row>
    <row r="67" spans="1:15" ht="43.2" x14ac:dyDescent="0.3">
      <c r="A67" s="2">
        <v>3</v>
      </c>
      <c r="B67" s="2" t="s">
        <v>11</v>
      </c>
      <c r="C67" s="29">
        <v>45597</v>
      </c>
      <c r="D67" s="2" t="s">
        <v>8</v>
      </c>
      <c r="E67" s="2">
        <v>3</v>
      </c>
      <c r="F67" s="2">
        <v>0.74550002813339233</v>
      </c>
      <c r="G67" s="2" t="s">
        <v>477</v>
      </c>
      <c r="I67" s="2">
        <v>47</v>
      </c>
      <c r="J67" s="2" t="s">
        <v>157</v>
      </c>
      <c r="K67" s="2" t="s">
        <v>113</v>
      </c>
      <c r="L67" s="2" t="s">
        <v>119</v>
      </c>
      <c r="M67" s="2" t="s">
        <v>236</v>
      </c>
      <c r="N67" s="2" t="s">
        <v>10</v>
      </c>
      <c r="O67" s="2">
        <f>INDEX(Table1[topic_dominant],MATCH(Table2[[#This Row],[id]],Table1[id],0))</f>
        <v>2</v>
      </c>
    </row>
    <row r="68" spans="1:15" ht="43.2" x14ac:dyDescent="0.3">
      <c r="A68" s="2">
        <v>62</v>
      </c>
      <c r="B68" s="2" t="s">
        <v>70</v>
      </c>
      <c r="C68" s="29">
        <v>45607</v>
      </c>
      <c r="D68" s="2" t="s">
        <v>71</v>
      </c>
      <c r="E68" s="2">
        <v>3</v>
      </c>
      <c r="F68" s="2">
        <v>0.7444000244140625</v>
      </c>
      <c r="G68" s="2" t="s">
        <v>531</v>
      </c>
      <c r="I68" s="2">
        <v>47</v>
      </c>
      <c r="J68" s="2" t="s">
        <v>157</v>
      </c>
      <c r="K68" s="2" t="s">
        <v>113</v>
      </c>
      <c r="L68" s="2" t="s">
        <v>237</v>
      </c>
      <c r="M68" s="2" t="s">
        <v>238</v>
      </c>
      <c r="N68" s="2" t="s">
        <v>8</v>
      </c>
      <c r="O68" s="2">
        <f>INDEX(Table1[topic_dominant],MATCH(Table2[[#This Row],[id]],Table1[id],0))</f>
        <v>2</v>
      </c>
    </row>
    <row r="69" spans="1:15" ht="43.2" x14ac:dyDescent="0.3">
      <c r="A69" s="2">
        <v>7</v>
      </c>
      <c r="B69" s="2" t="s">
        <v>15</v>
      </c>
      <c r="C69" s="29">
        <v>45597</v>
      </c>
      <c r="D69" s="2" t="s">
        <v>10</v>
      </c>
      <c r="E69" s="2">
        <v>3</v>
      </c>
      <c r="F69" s="2">
        <v>0.73589998483657837</v>
      </c>
      <c r="G69" s="2" t="s">
        <v>481</v>
      </c>
      <c r="I69" s="2">
        <v>48</v>
      </c>
      <c r="J69" s="2" t="s">
        <v>182</v>
      </c>
      <c r="K69" s="2" t="s">
        <v>129</v>
      </c>
      <c r="L69" s="2" t="s">
        <v>239</v>
      </c>
      <c r="M69" s="2" t="s">
        <v>240</v>
      </c>
      <c r="N69" s="2" t="s">
        <v>8</v>
      </c>
      <c r="O69" s="2">
        <f>INDEX(Table1[topic_dominant],MATCH(Table2[[#This Row],[id]],Table1[id],0))</f>
        <v>2</v>
      </c>
    </row>
    <row r="70" spans="1:15" ht="72" x14ac:dyDescent="0.3">
      <c r="A70" s="2">
        <v>76</v>
      </c>
      <c r="B70" s="2" t="s">
        <v>85</v>
      </c>
      <c r="C70" s="29">
        <v>45609</v>
      </c>
      <c r="D70" s="2" t="s">
        <v>8</v>
      </c>
      <c r="E70" s="2">
        <v>3</v>
      </c>
      <c r="F70" s="2">
        <v>0.73350000381469727</v>
      </c>
      <c r="G70" s="2" t="s">
        <v>544</v>
      </c>
      <c r="I70" s="2">
        <v>48</v>
      </c>
      <c r="J70" s="2" t="s">
        <v>182</v>
      </c>
      <c r="K70" s="2" t="s">
        <v>129</v>
      </c>
      <c r="L70" s="2" t="s">
        <v>239</v>
      </c>
      <c r="M70" s="2" t="s">
        <v>241</v>
      </c>
      <c r="N70" s="2" t="s">
        <v>8</v>
      </c>
      <c r="O70" s="2">
        <f>INDEX(Table1[topic_dominant],MATCH(Table2[[#This Row],[id]],Table1[id],0))</f>
        <v>2</v>
      </c>
    </row>
    <row r="71" spans="1:15" ht="28.8" x14ac:dyDescent="0.3">
      <c r="A71" s="2">
        <v>46</v>
      </c>
      <c r="B71" s="2" t="s">
        <v>54</v>
      </c>
      <c r="C71" s="29">
        <v>45603</v>
      </c>
      <c r="D71" s="2" t="s">
        <v>10</v>
      </c>
      <c r="E71" s="2">
        <v>3</v>
      </c>
      <c r="F71" s="2">
        <v>0.72380000352859497</v>
      </c>
      <c r="G71" s="2" t="s">
        <v>516</v>
      </c>
      <c r="I71" s="2">
        <v>48</v>
      </c>
      <c r="J71" s="2" t="s">
        <v>182</v>
      </c>
      <c r="K71" s="2" t="s">
        <v>129</v>
      </c>
      <c r="L71" s="2" t="s">
        <v>239</v>
      </c>
      <c r="M71" s="2" t="s">
        <v>242</v>
      </c>
      <c r="N71" s="2" t="s">
        <v>8</v>
      </c>
      <c r="O71" s="2">
        <f>INDEX(Table1[topic_dominant],MATCH(Table2[[#This Row],[id]],Table1[id],0))</f>
        <v>2</v>
      </c>
    </row>
    <row r="72" spans="1:15" ht="72" x14ac:dyDescent="0.3">
      <c r="A72" s="2">
        <v>98</v>
      </c>
      <c r="B72" s="2" t="s">
        <v>107</v>
      </c>
      <c r="C72" s="29">
        <v>45613</v>
      </c>
      <c r="D72" s="2" t="s">
        <v>8</v>
      </c>
      <c r="E72" s="2">
        <v>3</v>
      </c>
      <c r="F72" s="2">
        <v>0.72359997034072876</v>
      </c>
      <c r="G72" s="2" t="s">
        <v>564</v>
      </c>
      <c r="I72" s="2">
        <v>49</v>
      </c>
      <c r="J72" s="2" t="s">
        <v>174</v>
      </c>
      <c r="K72" s="2" t="s">
        <v>129</v>
      </c>
      <c r="L72" s="2" t="s">
        <v>243</v>
      </c>
      <c r="M72" s="2" t="s">
        <v>244</v>
      </c>
      <c r="N72" s="2" t="s">
        <v>10</v>
      </c>
      <c r="O72" s="2">
        <f>INDEX(Table1[topic_dominant],MATCH(Table2[[#This Row],[id]],Table1[id],0))</f>
        <v>3</v>
      </c>
    </row>
    <row r="73" spans="1:15" ht="43.2" x14ac:dyDescent="0.3">
      <c r="A73" s="2">
        <v>89</v>
      </c>
      <c r="B73" s="2" t="s">
        <v>98</v>
      </c>
      <c r="C73" s="29">
        <v>45611</v>
      </c>
      <c r="D73" s="2" t="s">
        <v>8</v>
      </c>
      <c r="E73" s="2">
        <v>3</v>
      </c>
      <c r="F73" s="2">
        <v>0.72200000286102295</v>
      </c>
      <c r="G73" s="2" t="s">
        <v>557</v>
      </c>
      <c r="I73" s="2">
        <v>50</v>
      </c>
      <c r="J73" s="2" t="s">
        <v>182</v>
      </c>
      <c r="K73" s="2" t="s">
        <v>129</v>
      </c>
      <c r="L73" s="2" t="s">
        <v>245</v>
      </c>
      <c r="M73" s="2" t="s">
        <v>246</v>
      </c>
      <c r="N73" s="2" t="s">
        <v>8</v>
      </c>
      <c r="O73" s="2">
        <f>INDEX(Table1[topic_dominant],MATCH(Table2[[#This Row],[id]],Table1[id],0))</f>
        <v>3</v>
      </c>
    </row>
    <row r="74" spans="1:15" ht="28.8" x14ac:dyDescent="0.3">
      <c r="A74" s="2">
        <v>95</v>
      </c>
      <c r="B74" s="2" t="s">
        <v>104</v>
      </c>
      <c r="C74" s="29">
        <v>45613</v>
      </c>
      <c r="D74" s="2" t="s">
        <v>8</v>
      </c>
      <c r="E74" s="2">
        <v>3</v>
      </c>
      <c r="F74" s="2">
        <v>0.7215999960899353</v>
      </c>
      <c r="G74" s="2" t="s">
        <v>563</v>
      </c>
      <c r="I74" s="2">
        <v>50</v>
      </c>
      <c r="J74" s="2" t="s">
        <v>182</v>
      </c>
      <c r="K74" s="2" t="s">
        <v>129</v>
      </c>
      <c r="L74" s="2" t="s">
        <v>141</v>
      </c>
      <c r="M74" s="2" t="s">
        <v>247</v>
      </c>
      <c r="N74" s="2" t="s">
        <v>10</v>
      </c>
      <c r="O74" s="2">
        <f>INDEX(Table1[topic_dominant],MATCH(Table2[[#This Row],[id]],Table1[id],0))</f>
        <v>3</v>
      </c>
    </row>
    <row r="75" spans="1:15" ht="28.8" x14ac:dyDescent="0.3">
      <c r="A75" s="2">
        <v>78</v>
      </c>
      <c r="B75" s="2" t="s">
        <v>87</v>
      </c>
      <c r="C75" s="29">
        <v>45609</v>
      </c>
      <c r="D75" s="2" t="s">
        <v>8</v>
      </c>
      <c r="E75" s="2">
        <v>3</v>
      </c>
      <c r="F75" s="2">
        <v>0.71789997816085815</v>
      </c>
      <c r="G75" s="2" t="s">
        <v>546</v>
      </c>
      <c r="I75" s="2">
        <v>50</v>
      </c>
      <c r="J75" s="2" t="s">
        <v>182</v>
      </c>
      <c r="K75" s="2" t="s">
        <v>129</v>
      </c>
      <c r="L75" s="2" t="s">
        <v>141</v>
      </c>
      <c r="M75" s="2" t="s">
        <v>248</v>
      </c>
      <c r="N75" s="2" t="s">
        <v>10</v>
      </c>
      <c r="O75" s="2">
        <f>INDEX(Table1[topic_dominant],MATCH(Table2[[#This Row],[id]],Table1[id],0))</f>
        <v>3</v>
      </c>
    </row>
    <row r="76" spans="1:15" ht="43.2" x14ac:dyDescent="0.3">
      <c r="A76" s="2">
        <v>16</v>
      </c>
      <c r="B76" s="2" t="s">
        <v>24</v>
      </c>
      <c r="C76" s="29">
        <v>45598</v>
      </c>
      <c r="D76" s="2" t="s">
        <v>8</v>
      </c>
      <c r="E76" s="2">
        <v>3</v>
      </c>
      <c r="F76" s="2">
        <v>0.71729999780654907</v>
      </c>
      <c r="G76" s="2" t="s">
        <v>489</v>
      </c>
      <c r="I76" s="2">
        <v>51</v>
      </c>
      <c r="J76" s="2" t="s">
        <v>112</v>
      </c>
      <c r="K76" s="2" t="s">
        <v>113</v>
      </c>
      <c r="L76" s="2" t="s">
        <v>172</v>
      </c>
      <c r="M76" s="2" t="s">
        <v>249</v>
      </c>
      <c r="N76" s="2" t="s">
        <v>8</v>
      </c>
      <c r="O76" s="2">
        <f>INDEX(Table1[topic_dominant],MATCH(Table2[[#This Row],[id]],Table1[id],0))</f>
        <v>1</v>
      </c>
    </row>
    <row r="77" spans="1:15" ht="43.2" x14ac:dyDescent="0.3">
      <c r="A77" s="2">
        <v>79</v>
      </c>
      <c r="B77" s="2" t="s">
        <v>88</v>
      </c>
      <c r="C77" s="29">
        <v>45610</v>
      </c>
      <c r="D77" s="2" t="s">
        <v>8</v>
      </c>
      <c r="E77" s="2">
        <v>3</v>
      </c>
      <c r="F77" s="2">
        <v>0.71689999103546143</v>
      </c>
      <c r="G77" s="2" t="s">
        <v>547</v>
      </c>
      <c r="I77" s="2">
        <v>52</v>
      </c>
      <c r="J77" s="2" t="s">
        <v>182</v>
      </c>
      <c r="K77" s="2" t="s">
        <v>129</v>
      </c>
      <c r="L77" s="2" t="s">
        <v>250</v>
      </c>
      <c r="M77" s="2" t="s">
        <v>251</v>
      </c>
      <c r="N77" s="2" t="s">
        <v>10</v>
      </c>
      <c r="O77" s="2">
        <f>INDEX(Table1[topic_dominant],MATCH(Table2[[#This Row],[id]],Table1[id],0))</f>
        <v>2</v>
      </c>
    </row>
    <row r="78" spans="1:15" ht="28.8" x14ac:dyDescent="0.3">
      <c r="A78" s="2">
        <v>24</v>
      </c>
      <c r="B78" s="2" t="s">
        <v>32</v>
      </c>
      <c r="C78" s="29">
        <v>45599</v>
      </c>
      <c r="D78" s="2" t="s">
        <v>10</v>
      </c>
      <c r="E78" s="2">
        <v>3</v>
      </c>
      <c r="F78" s="2">
        <v>0.71249997615814209</v>
      </c>
      <c r="G78" s="2" t="s">
        <v>497</v>
      </c>
      <c r="I78" s="2">
        <v>52</v>
      </c>
      <c r="J78" s="2" t="s">
        <v>182</v>
      </c>
      <c r="K78" s="2" t="s">
        <v>129</v>
      </c>
      <c r="L78" s="2" t="s">
        <v>250</v>
      </c>
      <c r="M78" s="2" t="s">
        <v>252</v>
      </c>
      <c r="N78" s="2" t="s">
        <v>8</v>
      </c>
      <c r="O78" s="2">
        <f>INDEX(Table1[topic_dominant],MATCH(Table2[[#This Row],[id]],Table1[id],0))</f>
        <v>2</v>
      </c>
    </row>
    <row r="79" spans="1:15" ht="43.2" x14ac:dyDescent="0.3">
      <c r="A79" s="2">
        <v>28</v>
      </c>
      <c r="B79" s="2" t="s">
        <v>36</v>
      </c>
      <c r="C79" s="29">
        <v>45600</v>
      </c>
      <c r="D79" s="2" t="s">
        <v>10</v>
      </c>
      <c r="E79" s="2">
        <v>3</v>
      </c>
      <c r="F79" s="2">
        <v>0.7093999981880188</v>
      </c>
      <c r="G79" s="2" t="s">
        <v>501</v>
      </c>
      <c r="I79" s="2">
        <v>53</v>
      </c>
      <c r="J79" s="2" t="s">
        <v>123</v>
      </c>
      <c r="K79" s="2" t="s">
        <v>113</v>
      </c>
      <c r="L79" s="2" t="s">
        <v>253</v>
      </c>
      <c r="M79" s="2" t="s">
        <v>254</v>
      </c>
      <c r="N79" s="2" t="s">
        <v>10</v>
      </c>
      <c r="O79" s="2">
        <f>INDEX(Table1[topic_dominant],MATCH(Table2[[#This Row],[id]],Table1[id],0))</f>
        <v>3</v>
      </c>
    </row>
    <row r="80" spans="1:15" ht="100.8" x14ac:dyDescent="0.3">
      <c r="A80" s="2">
        <v>39</v>
      </c>
      <c r="B80" s="2" t="s">
        <v>47</v>
      </c>
      <c r="C80" s="29">
        <v>45602</v>
      </c>
      <c r="D80" s="2" t="s">
        <v>10</v>
      </c>
      <c r="E80" s="2">
        <v>3</v>
      </c>
      <c r="F80" s="2">
        <v>0.70249998569488525</v>
      </c>
      <c r="G80" s="2" t="s">
        <v>510</v>
      </c>
      <c r="I80" s="2">
        <v>53</v>
      </c>
      <c r="J80" s="2" t="s">
        <v>123</v>
      </c>
      <c r="K80" s="2" t="s">
        <v>165</v>
      </c>
      <c r="L80" s="2" t="s">
        <v>174</v>
      </c>
      <c r="M80" s="2" t="s">
        <v>255</v>
      </c>
      <c r="N80" s="2" t="s">
        <v>8</v>
      </c>
      <c r="O80" s="2">
        <f>INDEX(Table1[topic_dominant],MATCH(Table2[[#This Row],[id]],Table1[id],0))</f>
        <v>3</v>
      </c>
    </row>
    <row r="81" spans="1:15" ht="100.8" x14ac:dyDescent="0.3">
      <c r="A81" s="2">
        <v>90</v>
      </c>
      <c r="B81" s="2" t="s">
        <v>99</v>
      </c>
      <c r="C81" s="29">
        <v>45611</v>
      </c>
      <c r="D81" s="2" t="s">
        <v>10</v>
      </c>
      <c r="E81" s="2">
        <v>3</v>
      </c>
      <c r="F81" s="2">
        <v>0.69529998302459717</v>
      </c>
      <c r="G81" s="2" t="s">
        <v>558</v>
      </c>
      <c r="I81" s="2">
        <v>53</v>
      </c>
      <c r="J81" s="2" t="s">
        <v>157</v>
      </c>
      <c r="K81" s="2" t="s">
        <v>113</v>
      </c>
      <c r="L81" s="2" t="s">
        <v>253</v>
      </c>
      <c r="M81" s="2" t="s">
        <v>256</v>
      </c>
      <c r="N81" s="2" t="s">
        <v>10</v>
      </c>
      <c r="O81" s="2">
        <f>INDEX(Table1[topic_dominant],MATCH(Table2[[#This Row],[id]],Table1[id],0))</f>
        <v>3</v>
      </c>
    </row>
    <row r="82" spans="1:15" ht="43.2" x14ac:dyDescent="0.3">
      <c r="A82" s="2">
        <v>22</v>
      </c>
      <c r="B82" s="2" t="s">
        <v>30</v>
      </c>
      <c r="C82" s="29">
        <v>45599</v>
      </c>
      <c r="D82" s="2" t="s">
        <v>8</v>
      </c>
      <c r="E82" s="2">
        <v>3</v>
      </c>
      <c r="F82" s="2">
        <v>0.69270002841949463</v>
      </c>
      <c r="G82" s="2" t="s">
        <v>495</v>
      </c>
      <c r="I82" s="2">
        <v>53</v>
      </c>
      <c r="J82" s="2" t="s">
        <v>157</v>
      </c>
      <c r="K82" s="2" t="s">
        <v>165</v>
      </c>
      <c r="L82" s="2" t="s">
        <v>174</v>
      </c>
      <c r="M82" s="2" t="s">
        <v>257</v>
      </c>
      <c r="N82" s="2" t="s">
        <v>8</v>
      </c>
      <c r="O82" s="2">
        <f>INDEX(Table1[topic_dominant],MATCH(Table2[[#This Row],[id]],Table1[id],0))</f>
        <v>3</v>
      </c>
    </row>
    <row r="83" spans="1:15" ht="43.2" x14ac:dyDescent="0.3">
      <c r="A83" s="2">
        <v>41</v>
      </c>
      <c r="B83" s="2" t="s">
        <v>49</v>
      </c>
      <c r="C83" s="29">
        <v>45602</v>
      </c>
      <c r="D83" s="2" t="s">
        <v>10</v>
      </c>
      <c r="E83" s="2">
        <v>3</v>
      </c>
      <c r="F83" s="2">
        <v>0.69160002470016479</v>
      </c>
      <c r="G83" s="2" t="s">
        <v>512</v>
      </c>
      <c r="I83" s="2">
        <v>54</v>
      </c>
      <c r="J83" s="2" t="s">
        <v>182</v>
      </c>
      <c r="K83" s="2" t="s">
        <v>129</v>
      </c>
      <c r="L83" s="2" t="s">
        <v>258</v>
      </c>
      <c r="M83" s="2" t="s">
        <v>259</v>
      </c>
      <c r="N83" s="2" t="s">
        <v>10</v>
      </c>
      <c r="O83" s="2">
        <f>INDEX(Table1[topic_dominant],MATCH(Table2[[#This Row],[id]],Table1[id],0))</f>
        <v>1</v>
      </c>
    </row>
    <row r="84" spans="1:15" ht="43.2" x14ac:dyDescent="0.3">
      <c r="A84" s="2">
        <v>87</v>
      </c>
      <c r="B84" s="2" t="s">
        <v>96</v>
      </c>
      <c r="C84" s="29">
        <v>45611</v>
      </c>
      <c r="D84" s="2" t="s">
        <v>8</v>
      </c>
      <c r="E84" s="2">
        <v>3</v>
      </c>
      <c r="F84" s="2">
        <v>0.69150000810623169</v>
      </c>
      <c r="G84" s="2" t="s">
        <v>555</v>
      </c>
      <c r="I84" s="2">
        <v>54</v>
      </c>
      <c r="J84" s="2" t="s">
        <v>182</v>
      </c>
      <c r="K84" s="2" t="s">
        <v>129</v>
      </c>
      <c r="L84" s="2" t="s">
        <v>258</v>
      </c>
      <c r="M84" s="2" t="s">
        <v>260</v>
      </c>
      <c r="N84" s="2" t="s">
        <v>10</v>
      </c>
      <c r="O84" s="2">
        <f>INDEX(Table1[topic_dominant],MATCH(Table2[[#This Row],[id]],Table1[id],0))</f>
        <v>1</v>
      </c>
    </row>
    <row r="85" spans="1:15" ht="28.8" x14ac:dyDescent="0.3">
      <c r="A85" s="2">
        <v>91</v>
      </c>
      <c r="B85" s="2" t="s">
        <v>100</v>
      </c>
      <c r="C85" s="29">
        <v>45611</v>
      </c>
      <c r="D85" s="2" t="s">
        <v>8</v>
      </c>
      <c r="E85" s="2">
        <v>3</v>
      </c>
      <c r="F85" s="2">
        <v>0.69150000810623169</v>
      </c>
      <c r="G85" s="2" t="s">
        <v>559</v>
      </c>
      <c r="I85" s="2">
        <v>54</v>
      </c>
      <c r="J85" s="2" t="s">
        <v>182</v>
      </c>
      <c r="K85" s="2" t="s">
        <v>129</v>
      </c>
      <c r="L85" s="2" t="s">
        <v>258</v>
      </c>
      <c r="M85" s="2" t="s">
        <v>261</v>
      </c>
      <c r="N85" s="2" t="s">
        <v>8</v>
      </c>
      <c r="O85" s="2">
        <f>INDEX(Table1[topic_dominant],MATCH(Table2[[#This Row],[id]],Table1[id],0))</f>
        <v>1</v>
      </c>
    </row>
    <row r="86" spans="1:15" ht="43.2" x14ac:dyDescent="0.3">
      <c r="A86" s="2">
        <v>85</v>
      </c>
      <c r="B86" s="2" t="s">
        <v>94</v>
      </c>
      <c r="C86" s="29">
        <v>45610</v>
      </c>
      <c r="D86" s="2" t="s">
        <v>8</v>
      </c>
      <c r="E86" s="2">
        <v>3</v>
      </c>
      <c r="F86" s="2">
        <v>0.68769997358322144</v>
      </c>
      <c r="G86" s="2" t="s">
        <v>553</v>
      </c>
      <c r="I86" s="2">
        <v>55</v>
      </c>
      <c r="J86" s="2" t="s">
        <v>182</v>
      </c>
      <c r="K86" s="2" t="s">
        <v>113</v>
      </c>
      <c r="L86" s="2" t="s">
        <v>262</v>
      </c>
      <c r="M86" s="2" t="s">
        <v>263</v>
      </c>
      <c r="N86" s="2" t="s">
        <v>8</v>
      </c>
      <c r="O86" s="2">
        <f>INDEX(Table1[topic_dominant],MATCH(Table2[[#This Row],[id]],Table1[id],0))</f>
        <v>2</v>
      </c>
    </row>
    <row r="87" spans="1:15" ht="43.2" x14ac:dyDescent="0.3">
      <c r="A87" s="2">
        <v>88</v>
      </c>
      <c r="B87" s="2" t="s">
        <v>97</v>
      </c>
      <c r="C87" s="29">
        <v>45611</v>
      </c>
      <c r="D87" s="2" t="s">
        <v>71</v>
      </c>
      <c r="E87" s="2">
        <v>3</v>
      </c>
      <c r="F87" s="2">
        <v>0.68690001964569092</v>
      </c>
      <c r="G87" s="2" t="s">
        <v>556</v>
      </c>
      <c r="I87" s="2">
        <v>56</v>
      </c>
      <c r="J87" s="2" t="s">
        <v>182</v>
      </c>
      <c r="K87" s="2" t="s">
        <v>129</v>
      </c>
      <c r="L87" s="2" t="s">
        <v>264</v>
      </c>
      <c r="M87" s="2" t="s">
        <v>265</v>
      </c>
      <c r="N87" s="2" t="s">
        <v>10</v>
      </c>
      <c r="O87" s="2">
        <f>INDEX(Table1[topic_dominant],MATCH(Table2[[#This Row],[id]],Table1[id],0))</f>
        <v>2</v>
      </c>
    </row>
    <row r="88" spans="1:15" ht="28.8" x14ac:dyDescent="0.3">
      <c r="A88" s="2">
        <v>83</v>
      </c>
      <c r="B88" s="2" t="s">
        <v>92</v>
      </c>
      <c r="C88" s="29">
        <v>45610</v>
      </c>
      <c r="D88" s="2" t="s">
        <v>8</v>
      </c>
      <c r="E88" s="2">
        <v>3</v>
      </c>
      <c r="F88" s="2">
        <v>0.68349999189376831</v>
      </c>
      <c r="G88" s="2" t="s">
        <v>551</v>
      </c>
      <c r="I88" s="2">
        <v>57</v>
      </c>
      <c r="J88" s="2" t="s">
        <v>112</v>
      </c>
      <c r="K88" s="2" t="s">
        <v>129</v>
      </c>
      <c r="L88" s="2" t="s">
        <v>266</v>
      </c>
      <c r="M88" s="2" t="s">
        <v>267</v>
      </c>
      <c r="N88" s="2" t="s">
        <v>8</v>
      </c>
      <c r="O88" s="2">
        <f>INDEX(Table1[topic_dominant],MATCH(Table2[[#This Row],[id]],Table1[id],0))</f>
        <v>2</v>
      </c>
    </row>
    <row r="89" spans="1:15" ht="28.8" x14ac:dyDescent="0.3">
      <c r="A89" s="2">
        <v>49</v>
      </c>
      <c r="B89" s="2" t="s">
        <v>57</v>
      </c>
      <c r="C89" s="29">
        <v>45604</v>
      </c>
      <c r="D89" s="2" t="s">
        <v>10</v>
      </c>
      <c r="E89" s="2">
        <v>3</v>
      </c>
      <c r="F89" s="2">
        <v>0.68040001392364502</v>
      </c>
      <c r="G89" s="2" t="s">
        <v>519</v>
      </c>
      <c r="I89" s="2">
        <v>57</v>
      </c>
      <c r="J89" s="2" t="s">
        <v>112</v>
      </c>
      <c r="K89" s="2" t="s">
        <v>129</v>
      </c>
      <c r="L89" s="2" t="s">
        <v>191</v>
      </c>
      <c r="M89" s="2" t="s">
        <v>268</v>
      </c>
      <c r="N89" s="2" t="s">
        <v>10</v>
      </c>
      <c r="O89" s="2">
        <f>INDEX(Table1[topic_dominant],MATCH(Table2[[#This Row],[id]],Table1[id],0))</f>
        <v>2</v>
      </c>
    </row>
    <row r="90" spans="1:15" ht="57.6" x14ac:dyDescent="0.3">
      <c r="A90" s="2">
        <v>64</v>
      </c>
      <c r="B90" s="2" t="s">
        <v>73</v>
      </c>
      <c r="C90" s="29">
        <v>45607</v>
      </c>
      <c r="D90" s="2" t="s">
        <v>8</v>
      </c>
      <c r="E90" s="2">
        <v>3</v>
      </c>
      <c r="F90" s="2">
        <v>0.67309999465942383</v>
      </c>
      <c r="G90" s="2" t="s">
        <v>533</v>
      </c>
      <c r="I90" s="2">
        <v>58</v>
      </c>
      <c r="J90" s="2" t="s">
        <v>182</v>
      </c>
      <c r="K90" s="2" t="s">
        <v>129</v>
      </c>
      <c r="L90" s="2" t="s">
        <v>269</v>
      </c>
      <c r="M90" s="2" t="s">
        <v>270</v>
      </c>
      <c r="N90" s="2" t="s">
        <v>10</v>
      </c>
      <c r="O90" s="2">
        <f>INDEX(Table1[topic_dominant],MATCH(Table2[[#This Row],[id]],Table1[id],0))</f>
        <v>1</v>
      </c>
    </row>
    <row r="91" spans="1:15" ht="43.2" x14ac:dyDescent="0.3">
      <c r="A91" s="2">
        <v>94</v>
      </c>
      <c r="B91" s="2" t="s">
        <v>103</v>
      </c>
      <c r="C91" s="29">
        <v>45612</v>
      </c>
      <c r="D91" s="2" t="s">
        <v>10</v>
      </c>
      <c r="E91" s="2">
        <v>3</v>
      </c>
      <c r="F91" s="2">
        <v>0.67299997806549072</v>
      </c>
      <c r="G91" s="2" t="s">
        <v>562</v>
      </c>
      <c r="I91" s="2">
        <v>58</v>
      </c>
      <c r="J91" s="2" t="s">
        <v>182</v>
      </c>
      <c r="K91" s="2" t="s">
        <v>129</v>
      </c>
      <c r="L91" s="2" t="s">
        <v>146</v>
      </c>
      <c r="M91" s="2" t="s">
        <v>271</v>
      </c>
      <c r="N91" s="2" t="s">
        <v>10</v>
      </c>
      <c r="O91" s="2">
        <f>INDEX(Table1[topic_dominant],MATCH(Table2[[#This Row],[id]],Table1[id],0))</f>
        <v>1</v>
      </c>
    </row>
    <row r="92" spans="1:15" ht="57.6" x14ac:dyDescent="0.3">
      <c r="A92" s="2">
        <v>50</v>
      </c>
      <c r="B92" s="2" t="s">
        <v>58</v>
      </c>
      <c r="C92" s="29">
        <v>45604</v>
      </c>
      <c r="D92" s="2" t="s">
        <v>10</v>
      </c>
      <c r="E92" s="2">
        <v>3</v>
      </c>
      <c r="F92" s="2">
        <v>0.67290002107620239</v>
      </c>
      <c r="G92" s="2" t="s">
        <v>520</v>
      </c>
      <c r="I92" s="2">
        <v>59</v>
      </c>
      <c r="J92" s="2" t="s">
        <v>174</v>
      </c>
      <c r="K92" s="2" t="s">
        <v>129</v>
      </c>
      <c r="L92" s="2" t="s">
        <v>264</v>
      </c>
      <c r="M92" s="2" t="s">
        <v>272</v>
      </c>
      <c r="N92" s="2" t="s">
        <v>10</v>
      </c>
      <c r="O92" s="2">
        <f>INDEX(Table1[topic_dominant],MATCH(Table2[[#This Row],[id]],Table1[id],0))</f>
        <v>2</v>
      </c>
    </row>
    <row r="93" spans="1:15" ht="72" x14ac:dyDescent="0.3">
      <c r="A93" s="2">
        <v>53</v>
      </c>
      <c r="B93" s="2" t="s">
        <v>61</v>
      </c>
      <c r="C93" s="29">
        <v>45605</v>
      </c>
      <c r="D93" s="2" t="s">
        <v>8</v>
      </c>
      <c r="E93" s="2">
        <v>3</v>
      </c>
      <c r="F93" s="2">
        <v>0.62309998273849487</v>
      </c>
      <c r="G93" s="2" t="s">
        <v>523</v>
      </c>
      <c r="I93" s="2">
        <v>60</v>
      </c>
      <c r="J93" s="2" t="s">
        <v>112</v>
      </c>
      <c r="K93" s="2" t="s">
        <v>113</v>
      </c>
      <c r="L93" s="2" t="s">
        <v>273</v>
      </c>
      <c r="M93" s="2" t="s">
        <v>274</v>
      </c>
      <c r="N93" s="2" t="s">
        <v>8</v>
      </c>
      <c r="O93" s="2">
        <f>INDEX(Table1[topic_dominant],MATCH(Table2[[#This Row],[id]],Table1[id],0))</f>
        <v>1</v>
      </c>
    </row>
    <row r="94" spans="1:15" ht="57.6" x14ac:dyDescent="0.3">
      <c r="A94" s="2">
        <v>1</v>
      </c>
      <c r="B94" s="2" t="s">
        <v>7</v>
      </c>
      <c r="C94" s="29">
        <v>45597</v>
      </c>
      <c r="D94" s="2" t="s">
        <v>8</v>
      </c>
      <c r="E94" s="2">
        <v>3</v>
      </c>
      <c r="F94" s="2">
        <v>0.61500000953674316</v>
      </c>
      <c r="G94" s="2" t="s">
        <v>475</v>
      </c>
      <c r="I94" s="2">
        <v>62</v>
      </c>
      <c r="J94" s="2" t="s">
        <v>126</v>
      </c>
      <c r="K94" s="2" t="s">
        <v>113</v>
      </c>
      <c r="L94" s="2" t="s">
        <v>275</v>
      </c>
      <c r="M94" s="2" t="s">
        <v>276</v>
      </c>
      <c r="N94" s="2" t="s">
        <v>10</v>
      </c>
      <c r="O94" s="2">
        <f>INDEX(Table1[topic_dominant],MATCH(Table2[[#This Row],[id]],Table1[id],0))</f>
        <v>3</v>
      </c>
    </row>
    <row r="95" spans="1:15" ht="86.4" x14ac:dyDescent="0.3">
      <c r="A95" s="2">
        <v>66</v>
      </c>
      <c r="B95" s="2" t="s">
        <v>75</v>
      </c>
      <c r="C95" s="29">
        <v>45607</v>
      </c>
      <c r="D95" s="2" t="s">
        <v>8</v>
      </c>
      <c r="E95" s="2">
        <v>3</v>
      </c>
      <c r="F95" s="2">
        <v>0.61169999837875366</v>
      </c>
      <c r="G95" s="2" t="s">
        <v>535</v>
      </c>
      <c r="I95" s="2">
        <v>62</v>
      </c>
      <c r="J95" s="2" t="s">
        <v>123</v>
      </c>
      <c r="K95" s="2" t="s">
        <v>113</v>
      </c>
      <c r="L95" s="2" t="s">
        <v>277</v>
      </c>
      <c r="M95" s="2" t="s">
        <v>278</v>
      </c>
      <c r="N95" s="2" t="s">
        <v>71</v>
      </c>
      <c r="O95" s="2">
        <f>INDEX(Table1[topic_dominant],MATCH(Table2[[#This Row],[id]],Table1[id],0))</f>
        <v>3</v>
      </c>
    </row>
    <row r="96" spans="1:15" ht="72" x14ac:dyDescent="0.3">
      <c r="A96" s="2">
        <v>2</v>
      </c>
      <c r="B96" s="2" t="s">
        <v>9</v>
      </c>
      <c r="C96" s="29">
        <v>45597</v>
      </c>
      <c r="D96" s="2" t="s">
        <v>10</v>
      </c>
      <c r="E96" s="2">
        <v>3</v>
      </c>
      <c r="F96" s="2">
        <v>0.61030000448226929</v>
      </c>
      <c r="G96" s="2" t="s">
        <v>476</v>
      </c>
      <c r="I96" s="2">
        <v>63</v>
      </c>
      <c r="J96" s="2" t="s">
        <v>214</v>
      </c>
      <c r="K96" s="2" t="s">
        <v>129</v>
      </c>
      <c r="L96" s="2" t="s">
        <v>279</v>
      </c>
      <c r="M96" s="2" t="s">
        <v>280</v>
      </c>
      <c r="N96" s="2" t="s">
        <v>71</v>
      </c>
      <c r="O96" s="2">
        <f>INDEX(Table1[topic_dominant],MATCH(Table2[[#This Row],[id]],Table1[id],0))</f>
        <v>2</v>
      </c>
    </row>
    <row r="97" spans="1:15" ht="43.2" x14ac:dyDescent="0.3">
      <c r="A97" s="2">
        <v>11</v>
      </c>
      <c r="B97" s="2" t="s">
        <v>19</v>
      </c>
      <c r="C97" s="29">
        <v>45597</v>
      </c>
      <c r="D97" s="2" t="s">
        <v>8</v>
      </c>
      <c r="E97" s="2">
        <v>3</v>
      </c>
      <c r="F97" s="2">
        <v>0.60110002756118774</v>
      </c>
      <c r="G97" s="2" t="s">
        <v>484</v>
      </c>
      <c r="I97" s="2">
        <v>63</v>
      </c>
      <c r="J97" s="2" t="s">
        <v>157</v>
      </c>
      <c r="K97" s="2" t="s">
        <v>113</v>
      </c>
      <c r="L97" s="2" t="s">
        <v>281</v>
      </c>
      <c r="M97" s="2" t="s">
        <v>282</v>
      </c>
      <c r="N97" s="2" t="s">
        <v>71</v>
      </c>
      <c r="O97" s="2">
        <f>INDEX(Table1[topic_dominant],MATCH(Table2[[#This Row],[id]],Table1[id],0))</f>
        <v>2</v>
      </c>
    </row>
    <row r="98" spans="1:15" ht="28.8" x14ac:dyDescent="0.3">
      <c r="A98" s="2">
        <v>13</v>
      </c>
      <c r="B98" s="2" t="s">
        <v>21</v>
      </c>
      <c r="C98" s="29">
        <v>45597</v>
      </c>
      <c r="D98" s="2" t="s">
        <v>10</v>
      </c>
      <c r="E98" s="2">
        <v>3</v>
      </c>
      <c r="F98" s="2">
        <v>0.60100001096725464</v>
      </c>
      <c r="G98" s="2" t="s">
        <v>486</v>
      </c>
      <c r="I98" s="2">
        <v>64</v>
      </c>
      <c r="J98" s="2" t="s">
        <v>174</v>
      </c>
      <c r="K98" s="2" t="s">
        <v>113</v>
      </c>
      <c r="L98" s="2" t="s">
        <v>283</v>
      </c>
      <c r="M98" s="2" t="s">
        <v>284</v>
      </c>
      <c r="N98" s="2" t="s">
        <v>8</v>
      </c>
      <c r="O98" s="2">
        <f>INDEX(Table1[topic_dominant],MATCH(Table2[[#This Row],[id]],Table1[id],0))</f>
        <v>3</v>
      </c>
    </row>
    <row r="99" spans="1:15" ht="28.8" x14ac:dyDescent="0.3">
      <c r="A99" s="2">
        <v>17</v>
      </c>
      <c r="B99" s="2" t="s">
        <v>25</v>
      </c>
      <c r="C99" s="29">
        <v>45598</v>
      </c>
      <c r="D99" s="2" t="s">
        <v>10</v>
      </c>
      <c r="E99" s="2">
        <v>3</v>
      </c>
      <c r="F99" s="2">
        <v>0.59960001707077026</v>
      </c>
      <c r="G99" s="2" t="s">
        <v>490</v>
      </c>
      <c r="I99" s="2">
        <v>65</v>
      </c>
      <c r="J99" s="2" t="s">
        <v>112</v>
      </c>
      <c r="K99" s="2" t="s">
        <v>113</v>
      </c>
      <c r="L99" s="2" t="s">
        <v>285</v>
      </c>
      <c r="M99" s="2" t="s">
        <v>286</v>
      </c>
      <c r="N99" s="2" t="s">
        <v>71</v>
      </c>
      <c r="O99" s="2">
        <f>INDEX(Table1[topic_dominant],MATCH(Table2[[#This Row],[id]],Table1[id],0))</f>
        <v>2</v>
      </c>
    </row>
    <row r="100" spans="1:15" ht="43.2" x14ac:dyDescent="0.3">
      <c r="A100" s="2">
        <v>19</v>
      </c>
      <c r="B100" s="2" t="s">
        <v>27</v>
      </c>
      <c r="C100" s="29">
        <v>45598</v>
      </c>
      <c r="D100" s="2" t="s">
        <v>8</v>
      </c>
      <c r="E100" s="2">
        <v>3</v>
      </c>
      <c r="F100" s="2">
        <v>0.4796999990940094</v>
      </c>
      <c r="G100" s="2" t="s">
        <v>492</v>
      </c>
      <c r="I100" s="2">
        <v>65</v>
      </c>
      <c r="J100" s="2" t="s">
        <v>112</v>
      </c>
      <c r="K100" s="2" t="s">
        <v>113</v>
      </c>
      <c r="L100" s="2" t="s">
        <v>287</v>
      </c>
      <c r="M100" s="2" t="s">
        <v>288</v>
      </c>
      <c r="N100" s="2" t="s">
        <v>8</v>
      </c>
      <c r="O100" s="2">
        <f>INDEX(Table1[topic_dominant],MATCH(Table2[[#This Row],[id]],Table1[id],0))</f>
        <v>2</v>
      </c>
    </row>
    <row r="101" spans="1:15" x14ac:dyDescent="0.3">
      <c r="I101" s="2">
        <v>66</v>
      </c>
      <c r="J101" s="2" t="s">
        <v>182</v>
      </c>
      <c r="K101" s="2" t="s">
        <v>129</v>
      </c>
      <c r="L101" s="2" t="s">
        <v>289</v>
      </c>
      <c r="M101" s="2" t="s">
        <v>290</v>
      </c>
      <c r="N101" s="2" t="s">
        <v>8</v>
      </c>
      <c r="O101" s="2">
        <f>INDEX(Table1[topic_dominant],MATCH(Table2[[#This Row],[id]],Table1[id],0))</f>
        <v>3</v>
      </c>
    </row>
    <row r="102" spans="1:15" ht="28.8" x14ac:dyDescent="0.3">
      <c r="I102" s="2">
        <v>66</v>
      </c>
      <c r="J102" s="2" t="s">
        <v>182</v>
      </c>
      <c r="K102" s="2" t="s">
        <v>129</v>
      </c>
      <c r="L102" s="2" t="s">
        <v>291</v>
      </c>
      <c r="M102" s="2" t="s">
        <v>292</v>
      </c>
      <c r="N102" s="2" t="s">
        <v>8</v>
      </c>
      <c r="O102" s="2">
        <f>INDEX(Table1[topic_dominant],MATCH(Table2[[#This Row],[id]],Table1[id],0))</f>
        <v>3</v>
      </c>
    </row>
    <row r="103" spans="1:15" ht="28.8" x14ac:dyDescent="0.3">
      <c r="I103" s="2">
        <v>66</v>
      </c>
      <c r="J103" s="2" t="s">
        <v>182</v>
      </c>
      <c r="K103" s="2" t="s">
        <v>129</v>
      </c>
      <c r="L103" s="2" t="s">
        <v>289</v>
      </c>
      <c r="M103" s="2" t="s">
        <v>293</v>
      </c>
      <c r="N103" s="2" t="s">
        <v>8</v>
      </c>
      <c r="O103" s="2">
        <f>INDEX(Table1[topic_dominant],MATCH(Table2[[#This Row],[id]],Table1[id],0))</f>
        <v>3</v>
      </c>
    </row>
    <row r="104" spans="1:15" ht="28.8" x14ac:dyDescent="0.3">
      <c r="I104" s="2">
        <v>67</v>
      </c>
      <c r="J104" s="2" t="s">
        <v>112</v>
      </c>
      <c r="K104" s="2" t="s">
        <v>129</v>
      </c>
      <c r="L104" s="2" t="s">
        <v>294</v>
      </c>
      <c r="M104" s="2" t="s">
        <v>295</v>
      </c>
      <c r="N104" s="2" t="s">
        <v>71</v>
      </c>
      <c r="O104" s="2">
        <f>INDEX(Table1[topic_dominant],MATCH(Table2[[#This Row],[id]],Table1[id],0))</f>
        <v>2</v>
      </c>
    </row>
    <row r="105" spans="1:15" x14ac:dyDescent="0.3">
      <c r="I105" s="2">
        <v>67</v>
      </c>
      <c r="J105" s="2" t="s">
        <v>112</v>
      </c>
      <c r="K105" s="2" t="s">
        <v>129</v>
      </c>
      <c r="L105" s="2" t="s">
        <v>294</v>
      </c>
      <c r="M105" s="2" t="s">
        <v>296</v>
      </c>
      <c r="N105" s="2" t="s">
        <v>8</v>
      </c>
      <c r="O105" s="2">
        <f>INDEX(Table1[topic_dominant],MATCH(Table2[[#This Row],[id]],Table1[id],0))</f>
        <v>2</v>
      </c>
    </row>
    <row r="106" spans="1:15" ht="28.8" x14ac:dyDescent="0.3">
      <c r="I106" s="2">
        <v>68</v>
      </c>
      <c r="J106" s="2" t="s">
        <v>182</v>
      </c>
      <c r="K106" s="2" t="s">
        <v>129</v>
      </c>
      <c r="L106" s="2" t="s">
        <v>297</v>
      </c>
      <c r="M106" s="2" t="s">
        <v>298</v>
      </c>
      <c r="N106" s="2" t="s">
        <v>8</v>
      </c>
      <c r="O106" s="2">
        <f>INDEX(Table1[topic_dominant],MATCH(Table2[[#This Row],[id]],Table1[id],0))</f>
        <v>1</v>
      </c>
    </row>
    <row r="107" spans="1:15" ht="43.2" x14ac:dyDescent="0.3">
      <c r="I107" s="2">
        <v>68</v>
      </c>
      <c r="J107" s="2" t="s">
        <v>182</v>
      </c>
      <c r="K107" s="2" t="s">
        <v>129</v>
      </c>
      <c r="L107" s="2" t="s">
        <v>297</v>
      </c>
      <c r="M107" s="2" t="s">
        <v>299</v>
      </c>
      <c r="N107" s="2" t="s">
        <v>71</v>
      </c>
      <c r="O107" s="2">
        <f>INDEX(Table1[topic_dominant],MATCH(Table2[[#This Row],[id]],Table1[id],0))</f>
        <v>1</v>
      </c>
    </row>
    <row r="108" spans="1:15" x14ac:dyDescent="0.3">
      <c r="I108" s="2">
        <v>68</v>
      </c>
      <c r="J108" s="2" t="s">
        <v>112</v>
      </c>
      <c r="K108" s="2" t="s">
        <v>129</v>
      </c>
      <c r="L108" s="2" t="s">
        <v>300</v>
      </c>
      <c r="M108" s="2" t="s">
        <v>301</v>
      </c>
      <c r="N108" s="2" t="s">
        <v>8</v>
      </c>
      <c r="O108" s="2">
        <f>INDEX(Table1[topic_dominant],MATCH(Table2[[#This Row],[id]],Table1[id],0))</f>
        <v>1</v>
      </c>
    </row>
    <row r="109" spans="1:15" x14ac:dyDescent="0.3">
      <c r="I109" s="2">
        <v>69</v>
      </c>
      <c r="J109" s="2" t="s">
        <v>112</v>
      </c>
      <c r="K109" s="2" t="s">
        <v>129</v>
      </c>
      <c r="L109" s="2" t="s">
        <v>302</v>
      </c>
      <c r="M109" s="2" t="s">
        <v>303</v>
      </c>
      <c r="N109" s="2" t="s">
        <v>8</v>
      </c>
      <c r="O109" s="2">
        <f>INDEX(Table1[topic_dominant],MATCH(Table2[[#This Row],[id]],Table1[id],0))</f>
        <v>2</v>
      </c>
    </row>
    <row r="110" spans="1:15" ht="57.6" x14ac:dyDescent="0.3">
      <c r="I110" s="2">
        <v>69</v>
      </c>
      <c r="J110" s="2" t="s">
        <v>112</v>
      </c>
      <c r="K110" s="2" t="s">
        <v>129</v>
      </c>
      <c r="L110" s="2" t="s">
        <v>245</v>
      </c>
      <c r="M110" s="2" t="s">
        <v>304</v>
      </c>
      <c r="N110" s="2" t="s">
        <v>8</v>
      </c>
      <c r="O110" s="2">
        <f>INDEX(Table1[topic_dominant],MATCH(Table2[[#This Row],[id]],Table1[id],0))</f>
        <v>2</v>
      </c>
    </row>
    <row r="111" spans="1:15" ht="57.6" x14ac:dyDescent="0.3">
      <c r="I111" s="2">
        <v>69</v>
      </c>
      <c r="J111" s="2" t="s">
        <v>305</v>
      </c>
      <c r="K111" s="2" t="s">
        <v>129</v>
      </c>
      <c r="L111" s="2" t="s">
        <v>245</v>
      </c>
      <c r="M111" s="2" t="s">
        <v>304</v>
      </c>
      <c r="N111" s="2" t="s">
        <v>8</v>
      </c>
      <c r="O111" s="2">
        <f>INDEX(Table1[topic_dominant],MATCH(Table2[[#This Row],[id]],Table1[id],0))</f>
        <v>2</v>
      </c>
    </row>
    <row r="112" spans="1:15" ht="28.8" x14ac:dyDescent="0.3">
      <c r="I112" s="2">
        <v>70</v>
      </c>
      <c r="J112" s="2" t="s">
        <v>306</v>
      </c>
      <c r="K112" s="2" t="s">
        <v>113</v>
      </c>
      <c r="L112" s="2" t="s">
        <v>307</v>
      </c>
      <c r="M112" s="2" t="s">
        <v>308</v>
      </c>
      <c r="N112" s="2" t="s">
        <v>71</v>
      </c>
      <c r="O112" s="2">
        <f>INDEX(Table1[topic_dominant],MATCH(Table2[[#This Row],[id]],Table1[id],0))</f>
        <v>2</v>
      </c>
    </row>
    <row r="113" spans="9:15" ht="28.8" x14ac:dyDescent="0.3">
      <c r="I113" s="2">
        <v>71</v>
      </c>
      <c r="J113" s="2" t="s">
        <v>182</v>
      </c>
      <c r="K113" s="2" t="s">
        <v>129</v>
      </c>
      <c r="L113" s="2" t="s">
        <v>245</v>
      </c>
      <c r="M113" s="2" t="s">
        <v>309</v>
      </c>
      <c r="N113" s="2" t="s">
        <v>8</v>
      </c>
      <c r="O113" s="2">
        <f>INDEX(Table1[topic_dominant],MATCH(Table2[[#This Row],[id]],Table1[id],0))</f>
        <v>2</v>
      </c>
    </row>
    <row r="114" spans="9:15" ht="28.8" x14ac:dyDescent="0.3">
      <c r="I114" s="2">
        <v>71</v>
      </c>
      <c r="J114" s="2" t="s">
        <v>112</v>
      </c>
      <c r="K114" s="2" t="s">
        <v>129</v>
      </c>
      <c r="L114" s="2" t="s">
        <v>310</v>
      </c>
      <c r="M114" s="2" t="s">
        <v>311</v>
      </c>
      <c r="N114" s="2" t="s">
        <v>8</v>
      </c>
      <c r="O114" s="2">
        <f>INDEX(Table1[topic_dominant],MATCH(Table2[[#This Row],[id]],Table1[id],0))</f>
        <v>2</v>
      </c>
    </row>
    <row r="115" spans="9:15" ht="28.8" x14ac:dyDescent="0.3">
      <c r="I115" s="2">
        <v>72</v>
      </c>
      <c r="J115" s="2" t="s">
        <v>112</v>
      </c>
      <c r="K115" s="2" t="s">
        <v>129</v>
      </c>
      <c r="L115" s="2" t="s">
        <v>312</v>
      </c>
      <c r="M115" s="2" t="s">
        <v>313</v>
      </c>
      <c r="N115" s="2" t="s">
        <v>10</v>
      </c>
      <c r="O115" s="2">
        <f>INDEX(Table1[topic_dominant],MATCH(Table2[[#This Row],[id]],Table1[id],0))</f>
        <v>2</v>
      </c>
    </row>
    <row r="116" spans="9:15" ht="28.8" x14ac:dyDescent="0.3">
      <c r="I116" s="2">
        <v>74</v>
      </c>
      <c r="J116" s="2" t="s">
        <v>182</v>
      </c>
      <c r="K116" s="2" t="s">
        <v>129</v>
      </c>
      <c r="L116" s="2" t="s">
        <v>314</v>
      </c>
      <c r="M116" s="2" t="s">
        <v>315</v>
      </c>
      <c r="N116" s="2" t="s">
        <v>8</v>
      </c>
      <c r="O116" s="2">
        <f>INDEX(Table1[topic_dominant],MATCH(Table2[[#This Row],[id]],Table1[id],0))</f>
        <v>2</v>
      </c>
    </row>
    <row r="117" spans="9:15" x14ac:dyDescent="0.3">
      <c r="I117" s="2">
        <v>75</v>
      </c>
      <c r="J117" s="2" t="s">
        <v>112</v>
      </c>
      <c r="K117" s="2" t="s">
        <v>129</v>
      </c>
      <c r="L117" s="2" t="s">
        <v>291</v>
      </c>
      <c r="M117" s="2" t="s">
        <v>316</v>
      </c>
      <c r="N117" s="2" t="s">
        <v>8</v>
      </c>
      <c r="O117" s="2">
        <f>INDEX(Table1[topic_dominant],MATCH(Table2[[#This Row],[id]],Table1[id],0))</f>
        <v>1</v>
      </c>
    </row>
    <row r="118" spans="9:15" ht="28.8" x14ac:dyDescent="0.3">
      <c r="I118" s="2">
        <v>76</v>
      </c>
      <c r="J118" s="2" t="s">
        <v>317</v>
      </c>
      <c r="K118" s="2" t="s">
        <v>129</v>
      </c>
      <c r="L118" s="2" t="s">
        <v>318</v>
      </c>
      <c r="M118" s="2" t="s">
        <v>319</v>
      </c>
      <c r="N118" s="2" t="s">
        <v>71</v>
      </c>
      <c r="O118" s="2">
        <f>INDEX(Table1[topic_dominant],MATCH(Table2[[#This Row],[id]],Table1[id],0))</f>
        <v>3</v>
      </c>
    </row>
    <row r="119" spans="9:15" ht="28.8" x14ac:dyDescent="0.3">
      <c r="I119" s="2">
        <v>76</v>
      </c>
      <c r="J119" s="2" t="s">
        <v>174</v>
      </c>
      <c r="K119" s="2" t="s">
        <v>129</v>
      </c>
      <c r="L119" s="2" t="s">
        <v>320</v>
      </c>
      <c r="M119" s="2" t="s">
        <v>321</v>
      </c>
      <c r="N119" s="2" t="s">
        <v>8</v>
      </c>
      <c r="O119" s="2">
        <f>INDEX(Table1[topic_dominant],MATCH(Table2[[#This Row],[id]],Table1[id],0))</f>
        <v>3</v>
      </c>
    </row>
    <row r="120" spans="9:15" ht="28.8" x14ac:dyDescent="0.3">
      <c r="I120" s="2">
        <v>76</v>
      </c>
      <c r="J120" s="2" t="s">
        <v>174</v>
      </c>
      <c r="K120" s="2" t="s">
        <v>129</v>
      </c>
      <c r="L120" s="2" t="s">
        <v>320</v>
      </c>
      <c r="M120" s="2" t="s">
        <v>322</v>
      </c>
      <c r="N120" s="2" t="s">
        <v>8</v>
      </c>
      <c r="O120" s="2">
        <f>INDEX(Table1[topic_dominant],MATCH(Table2[[#This Row],[id]],Table1[id],0))</f>
        <v>3</v>
      </c>
    </row>
    <row r="121" spans="9:15" x14ac:dyDescent="0.3">
      <c r="I121" s="2">
        <v>77</v>
      </c>
      <c r="J121" s="2" t="s">
        <v>157</v>
      </c>
      <c r="K121" s="2" t="s">
        <v>113</v>
      </c>
      <c r="L121" s="2" t="s">
        <v>323</v>
      </c>
      <c r="M121" s="2" t="s">
        <v>324</v>
      </c>
      <c r="N121" s="2" t="s">
        <v>71</v>
      </c>
      <c r="O121" s="2">
        <f>INDEX(Table1[topic_dominant],MATCH(Table2[[#This Row],[id]],Table1[id],0))</f>
        <v>1</v>
      </c>
    </row>
    <row r="122" spans="9:15" ht="43.2" x14ac:dyDescent="0.3">
      <c r="I122" s="2">
        <v>78</v>
      </c>
      <c r="J122" s="2" t="s">
        <v>174</v>
      </c>
      <c r="K122" s="2" t="s">
        <v>129</v>
      </c>
      <c r="L122" s="2" t="s">
        <v>243</v>
      </c>
      <c r="M122" s="2" t="s">
        <v>325</v>
      </c>
      <c r="N122" s="2" t="s">
        <v>8</v>
      </c>
      <c r="O122" s="2">
        <f>INDEX(Table1[topic_dominant],MATCH(Table2[[#This Row],[id]],Table1[id],0))</f>
        <v>3</v>
      </c>
    </row>
    <row r="123" spans="9:15" ht="43.2" x14ac:dyDescent="0.3">
      <c r="I123" s="2">
        <v>79</v>
      </c>
      <c r="J123" s="2" t="s">
        <v>326</v>
      </c>
      <c r="K123" s="2" t="s">
        <v>129</v>
      </c>
      <c r="L123" s="2" t="s">
        <v>198</v>
      </c>
      <c r="M123" s="2" t="s">
        <v>327</v>
      </c>
      <c r="N123" s="2" t="s">
        <v>8</v>
      </c>
      <c r="O123" s="2">
        <f>INDEX(Table1[topic_dominant],MATCH(Table2[[#This Row],[id]],Table1[id],0))</f>
        <v>3</v>
      </c>
    </row>
    <row r="124" spans="9:15" ht="43.2" x14ac:dyDescent="0.3">
      <c r="I124" s="2">
        <v>79</v>
      </c>
      <c r="J124" s="2" t="s">
        <v>174</v>
      </c>
      <c r="K124" s="2" t="s">
        <v>129</v>
      </c>
      <c r="L124" s="2" t="s">
        <v>198</v>
      </c>
      <c r="M124" s="2" t="s">
        <v>327</v>
      </c>
      <c r="N124" s="2" t="s">
        <v>8</v>
      </c>
      <c r="O124" s="2">
        <f>INDEX(Table1[topic_dominant],MATCH(Table2[[#This Row],[id]],Table1[id],0))</f>
        <v>3</v>
      </c>
    </row>
    <row r="125" spans="9:15" ht="28.8" x14ac:dyDescent="0.3">
      <c r="I125" s="2">
        <v>80</v>
      </c>
      <c r="J125" s="2" t="s">
        <v>182</v>
      </c>
      <c r="K125" s="2" t="s">
        <v>129</v>
      </c>
      <c r="L125" s="2" t="s">
        <v>328</v>
      </c>
      <c r="M125" s="2" t="s">
        <v>329</v>
      </c>
      <c r="N125" s="2" t="s">
        <v>8</v>
      </c>
      <c r="O125" s="2">
        <f>INDEX(Table1[topic_dominant],MATCH(Table2[[#This Row],[id]],Table1[id],0))</f>
        <v>1</v>
      </c>
    </row>
    <row r="126" spans="9:15" x14ac:dyDescent="0.3">
      <c r="I126" s="2">
        <v>80</v>
      </c>
      <c r="J126" s="2" t="s">
        <v>182</v>
      </c>
      <c r="K126" s="2" t="s">
        <v>129</v>
      </c>
      <c r="L126" s="2" t="s">
        <v>328</v>
      </c>
      <c r="M126" s="2" t="s">
        <v>330</v>
      </c>
      <c r="N126" s="2" t="s">
        <v>8</v>
      </c>
      <c r="O126" s="2">
        <f>INDEX(Table1[topic_dominant],MATCH(Table2[[#This Row],[id]],Table1[id],0))</f>
        <v>1</v>
      </c>
    </row>
    <row r="127" spans="9:15" ht="28.8" x14ac:dyDescent="0.3">
      <c r="I127" s="2">
        <v>81</v>
      </c>
      <c r="J127" s="2" t="s">
        <v>112</v>
      </c>
      <c r="K127" s="2" t="s">
        <v>113</v>
      </c>
      <c r="L127" s="2" t="s">
        <v>331</v>
      </c>
      <c r="M127" s="2" t="s">
        <v>332</v>
      </c>
      <c r="N127" s="2" t="s">
        <v>8</v>
      </c>
      <c r="O127" s="2">
        <f>INDEX(Table1[topic_dominant],MATCH(Table2[[#This Row],[id]],Table1[id],0))</f>
        <v>1</v>
      </c>
    </row>
    <row r="128" spans="9:15" x14ac:dyDescent="0.3">
      <c r="I128" s="2">
        <v>82</v>
      </c>
      <c r="J128" s="2" t="s">
        <v>333</v>
      </c>
      <c r="K128" s="2" t="s">
        <v>113</v>
      </c>
      <c r="L128" s="2" t="s">
        <v>334</v>
      </c>
      <c r="M128" s="2" t="s">
        <v>335</v>
      </c>
      <c r="N128" s="2" t="s">
        <v>71</v>
      </c>
      <c r="O128" s="2">
        <f>INDEX(Table1[topic_dominant],MATCH(Table2[[#This Row],[id]],Table1[id],0))</f>
        <v>2</v>
      </c>
    </row>
    <row r="129" spans="9:15" ht="28.8" x14ac:dyDescent="0.3">
      <c r="I129" s="2">
        <v>83</v>
      </c>
      <c r="J129" s="2" t="s">
        <v>182</v>
      </c>
      <c r="K129" s="2" t="s">
        <v>129</v>
      </c>
      <c r="L129" s="2" t="s">
        <v>336</v>
      </c>
      <c r="M129" s="2" t="s">
        <v>337</v>
      </c>
      <c r="N129" s="2" t="s">
        <v>8</v>
      </c>
      <c r="O129" s="2">
        <f>INDEX(Table1[topic_dominant],MATCH(Table2[[#This Row],[id]],Table1[id],0))</f>
        <v>3</v>
      </c>
    </row>
    <row r="130" spans="9:15" ht="28.8" x14ac:dyDescent="0.3">
      <c r="I130" s="2">
        <v>84</v>
      </c>
      <c r="J130" s="2" t="s">
        <v>182</v>
      </c>
      <c r="K130" s="2" t="s">
        <v>113</v>
      </c>
      <c r="L130" s="2" t="s">
        <v>338</v>
      </c>
      <c r="M130" s="2" t="s">
        <v>339</v>
      </c>
      <c r="N130" s="2" t="s">
        <v>8</v>
      </c>
      <c r="O130" s="2">
        <f>INDEX(Table1[topic_dominant],MATCH(Table2[[#This Row],[id]],Table1[id],0))</f>
        <v>1</v>
      </c>
    </row>
    <row r="131" spans="9:15" x14ac:dyDescent="0.3">
      <c r="I131" s="2">
        <v>84</v>
      </c>
      <c r="J131" s="2" t="s">
        <v>182</v>
      </c>
      <c r="K131" s="2" t="s">
        <v>113</v>
      </c>
      <c r="L131" s="2" t="s">
        <v>340</v>
      </c>
      <c r="M131" s="2" t="s">
        <v>341</v>
      </c>
      <c r="N131" s="2" t="s">
        <v>71</v>
      </c>
      <c r="O131" s="2">
        <f>INDEX(Table1[topic_dominant],MATCH(Table2[[#This Row],[id]],Table1[id],0))</f>
        <v>1</v>
      </c>
    </row>
    <row r="132" spans="9:15" ht="28.8" x14ac:dyDescent="0.3">
      <c r="I132" s="2">
        <v>85</v>
      </c>
      <c r="J132" s="2" t="s">
        <v>306</v>
      </c>
      <c r="K132" s="2" t="s">
        <v>129</v>
      </c>
      <c r="L132" s="2" t="s">
        <v>342</v>
      </c>
      <c r="M132" s="2" t="s">
        <v>343</v>
      </c>
      <c r="N132" s="2" t="s">
        <v>8</v>
      </c>
      <c r="O132" s="2">
        <f>INDEX(Table1[topic_dominant],MATCH(Table2[[#This Row],[id]],Table1[id],0))</f>
        <v>3</v>
      </c>
    </row>
    <row r="133" spans="9:15" x14ac:dyDescent="0.3">
      <c r="I133" s="2">
        <v>85</v>
      </c>
      <c r="J133" s="2" t="s">
        <v>174</v>
      </c>
      <c r="K133" s="2" t="s">
        <v>129</v>
      </c>
      <c r="L133" s="2" t="s">
        <v>320</v>
      </c>
      <c r="M133" s="2" t="s">
        <v>344</v>
      </c>
      <c r="N133" s="2" t="s">
        <v>8</v>
      </c>
      <c r="O133" s="2">
        <f>INDEX(Table1[topic_dominant],MATCH(Table2[[#This Row],[id]],Table1[id],0))</f>
        <v>3</v>
      </c>
    </row>
    <row r="134" spans="9:15" x14ac:dyDescent="0.3">
      <c r="I134" s="2">
        <v>86</v>
      </c>
      <c r="J134" s="2" t="s">
        <v>182</v>
      </c>
      <c r="K134" s="2" t="s">
        <v>129</v>
      </c>
      <c r="L134" s="2" t="s">
        <v>345</v>
      </c>
      <c r="M134" s="2" t="s">
        <v>346</v>
      </c>
      <c r="N134" s="2" t="s">
        <v>8</v>
      </c>
      <c r="O134" s="2">
        <f>INDEX(Table1[topic_dominant],MATCH(Table2[[#This Row],[id]],Table1[id],0))</f>
        <v>2</v>
      </c>
    </row>
    <row r="135" spans="9:15" ht="28.8" x14ac:dyDescent="0.3">
      <c r="I135" s="2">
        <v>87</v>
      </c>
      <c r="J135" s="2" t="s">
        <v>347</v>
      </c>
      <c r="K135" s="2" t="s">
        <v>113</v>
      </c>
      <c r="L135" s="2" t="s">
        <v>348</v>
      </c>
      <c r="M135" s="2" t="s">
        <v>349</v>
      </c>
      <c r="N135" s="2" t="s">
        <v>8</v>
      </c>
      <c r="O135" s="2">
        <f>INDEX(Table1[topic_dominant],MATCH(Table2[[#This Row],[id]],Table1[id],0))</f>
        <v>3</v>
      </c>
    </row>
    <row r="136" spans="9:15" ht="43.2" x14ac:dyDescent="0.3">
      <c r="I136" s="2">
        <v>88</v>
      </c>
      <c r="J136" s="2" t="s">
        <v>350</v>
      </c>
      <c r="K136" s="2" t="s">
        <v>113</v>
      </c>
      <c r="L136" s="2" t="s">
        <v>285</v>
      </c>
      <c r="M136" s="2" t="s">
        <v>351</v>
      </c>
      <c r="N136" s="2" t="s">
        <v>71</v>
      </c>
      <c r="O136" s="2">
        <f>INDEX(Table1[topic_dominant],MATCH(Table2[[#This Row],[id]],Table1[id],0))</f>
        <v>3</v>
      </c>
    </row>
    <row r="137" spans="9:15" ht="28.8" x14ac:dyDescent="0.3">
      <c r="I137" s="2">
        <v>89</v>
      </c>
      <c r="J137" s="2" t="s">
        <v>112</v>
      </c>
      <c r="K137" s="2" t="s">
        <v>129</v>
      </c>
      <c r="L137" s="2" t="s">
        <v>352</v>
      </c>
      <c r="M137" s="2" t="s">
        <v>353</v>
      </c>
      <c r="N137" s="2" t="s">
        <v>8</v>
      </c>
      <c r="O137" s="2">
        <f>INDEX(Table1[topic_dominant],MATCH(Table2[[#This Row],[id]],Table1[id],0))</f>
        <v>3</v>
      </c>
    </row>
    <row r="138" spans="9:15" ht="28.8" x14ac:dyDescent="0.3">
      <c r="I138" s="2">
        <v>90</v>
      </c>
      <c r="J138" s="2" t="s">
        <v>182</v>
      </c>
      <c r="K138" s="2" t="s">
        <v>129</v>
      </c>
      <c r="L138" s="2" t="s">
        <v>354</v>
      </c>
      <c r="M138" s="2" t="s">
        <v>355</v>
      </c>
      <c r="N138" s="2" t="s">
        <v>8</v>
      </c>
      <c r="O138" s="2">
        <f>INDEX(Table1[topic_dominant],MATCH(Table2[[#This Row],[id]],Table1[id],0))</f>
        <v>3</v>
      </c>
    </row>
    <row r="139" spans="9:15" x14ac:dyDescent="0.3">
      <c r="I139" s="2">
        <v>90</v>
      </c>
      <c r="J139" s="2" t="s">
        <v>182</v>
      </c>
      <c r="K139" s="2" t="s">
        <v>129</v>
      </c>
      <c r="L139" s="2" t="s">
        <v>356</v>
      </c>
      <c r="M139" s="2" t="s">
        <v>357</v>
      </c>
      <c r="N139" s="2" t="s">
        <v>8</v>
      </c>
      <c r="O139" s="2">
        <f>INDEX(Table1[topic_dominant],MATCH(Table2[[#This Row],[id]],Table1[id],0))</f>
        <v>3</v>
      </c>
    </row>
    <row r="140" spans="9:15" ht="28.8" x14ac:dyDescent="0.3">
      <c r="I140" s="2">
        <v>90</v>
      </c>
      <c r="J140" s="2" t="s">
        <v>182</v>
      </c>
      <c r="K140" s="2" t="s">
        <v>129</v>
      </c>
      <c r="L140" s="2" t="s">
        <v>356</v>
      </c>
      <c r="M140" s="2" t="s">
        <v>358</v>
      </c>
      <c r="N140" s="2" t="s">
        <v>8</v>
      </c>
      <c r="O140" s="2">
        <f>INDEX(Table1[topic_dominant],MATCH(Table2[[#This Row],[id]],Table1[id],0))</f>
        <v>3</v>
      </c>
    </row>
    <row r="141" spans="9:15" ht="28.8" x14ac:dyDescent="0.3">
      <c r="I141" s="2">
        <v>90</v>
      </c>
      <c r="J141" s="2" t="s">
        <v>182</v>
      </c>
      <c r="K141" s="2" t="s">
        <v>129</v>
      </c>
      <c r="L141" s="2" t="s">
        <v>354</v>
      </c>
      <c r="M141" s="2" t="s">
        <v>359</v>
      </c>
      <c r="N141" s="2" t="s">
        <v>10</v>
      </c>
      <c r="O141" s="2">
        <f>INDEX(Table1[topic_dominant],MATCH(Table2[[#This Row],[id]],Table1[id],0))</f>
        <v>3</v>
      </c>
    </row>
    <row r="142" spans="9:15" x14ac:dyDescent="0.3">
      <c r="I142" s="2">
        <v>91</v>
      </c>
      <c r="J142" s="2" t="s">
        <v>360</v>
      </c>
      <c r="K142" s="2" t="s">
        <v>113</v>
      </c>
      <c r="L142" s="2" t="s">
        <v>361</v>
      </c>
      <c r="M142" s="2" t="s">
        <v>362</v>
      </c>
      <c r="N142" s="2" t="s">
        <v>8</v>
      </c>
      <c r="O142" s="2">
        <f>INDEX(Table1[topic_dominant],MATCH(Table2[[#This Row],[id]],Table1[id],0))</f>
        <v>3</v>
      </c>
    </row>
    <row r="143" spans="9:15" ht="43.2" x14ac:dyDescent="0.3">
      <c r="I143" s="2">
        <v>92</v>
      </c>
      <c r="J143" s="2" t="s">
        <v>363</v>
      </c>
      <c r="K143" s="2" t="s">
        <v>129</v>
      </c>
      <c r="L143" s="2" t="s">
        <v>364</v>
      </c>
      <c r="M143" s="2" t="s">
        <v>365</v>
      </c>
      <c r="N143" s="2" t="s">
        <v>8</v>
      </c>
      <c r="O143" s="2">
        <f>INDEX(Table1[topic_dominant],MATCH(Table2[[#This Row],[id]],Table1[id],0))</f>
        <v>2</v>
      </c>
    </row>
    <row r="144" spans="9:15" ht="43.2" x14ac:dyDescent="0.3">
      <c r="I144" s="2">
        <v>92</v>
      </c>
      <c r="J144" s="2" t="s">
        <v>174</v>
      </c>
      <c r="K144" s="2" t="s">
        <v>129</v>
      </c>
      <c r="L144" s="2" t="s">
        <v>364</v>
      </c>
      <c r="M144" s="2" t="s">
        <v>365</v>
      </c>
      <c r="N144" s="2" t="s">
        <v>8</v>
      </c>
      <c r="O144" s="2">
        <f>INDEX(Table1[topic_dominant],MATCH(Table2[[#This Row],[id]],Table1[id],0))</f>
        <v>2</v>
      </c>
    </row>
    <row r="145" spans="9:15" ht="28.8" x14ac:dyDescent="0.3">
      <c r="I145" s="2">
        <v>92</v>
      </c>
      <c r="J145" s="2" t="s">
        <v>174</v>
      </c>
      <c r="K145" s="2" t="s">
        <v>129</v>
      </c>
      <c r="L145" s="2" t="s">
        <v>366</v>
      </c>
      <c r="M145" s="2" t="s">
        <v>367</v>
      </c>
      <c r="N145" s="2" t="s">
        <v>8</v>
      </c>
      <c r="O145" s="2">
        <f>INDEX(Table1[topic_dominant],MATCH(Table2[[#This Row],[id]],Table1[id],0))</f>
        <v>2</v>
      </c>
    </row>
    <row r="146" spans="9:15" x14ac:dyDescent="0.3">
      <c r="I146" s="2">
        <v>93</v>
      </c>
      <c r="J146" s="2" t="s">
        <v>182</v>
      </c>
      <c r="K146" s="2" t="s">
        <v>113</v>
      </c>
      <c r="L146" s="2" t="s">
        <v>368</v>
      </c>
      <c r="M146" s="2" t="s">
        <v>369</v>
      </c>
      <c r="N146" s="2" t="s">
        <v>8</v>
      </c>
      <c r="O146" s="2">
        <f>INDEX(Table1[topic_dominant],MATCH(Table2[[#This Row],[id]],Table1[id],0))</f>
        <v>1</v>
      </c>
    </row>
    <row r="147" spans="9:15" ht="28.8" x14ac:dyDescent="0.3">
      <c r="I147" s="2">
        <v>93</v>
      </c>
      <c r="J147" s="2" t="s">
        <v>182</v>
      </c>
      <c r="K147" s="2" t="s">
        <v>165</v>
      </c>
      <c r="L147" s="2" t="s">
        <v>112</v>
      </c>
      <c r="M147" s="2" t="s">
        <v>370</v>
      </c>
      <c r="N147" s="2" t="s">
        <v>8</v>
      </c>
      <c r="O147" s="2">
        <f>INDEX(Table1[topic_dominant],MATCH(Table2[[#This Row],[id]],Table1[id],0))</f>
        <v>1</v>
      </c>
    </row>
    <row r="148" spans="9:15" ht="28.8" x14ac:dyDescent="0.3">
      <c r="I148" s="2">
        <v>93</v>
      </c>
      <c r="J148" s="2" t="s">
        <v>182</v>
      </c>
      <c r="K148" s="2" t="s">
        <v>165</v>
      </c>
      <c r="L148" s="2" t="s">
        <v>371</v>
      </c>
      <c r="M148" s="2" t="s">
        <v>372</v>
      </c>
      <c r="N148" s="2" t="s">
        <v>71</v>
      </c>
      <c r="O148" s="2">
        <f>INDEX(Table1[topic_dominant],MATCH(Table2[[#This Row],[id]],Table1[id],0))</f>
        <v>1</v>
      </c>
    </row>
    <row r="149" spans="9:15" ht="28.8" x14ac:dyDescent="0.3">
      <c r="I149" s="2">
        <v>93</v>
      </c>
      <c r="J149" s="2" t="s">
        <v>112</v>
      </c>
      <c r="K149" s="2" t="s">
        <v>165</v>
      </c>
      <c r="L149" s="2" t="s">
        <v>112</v>
      </c>
      <c r="M149" s="2" t="s">
        <v>370</v>
      </c>
      <c r="N149" s="2" t="s">
        <v>8</v>
      </c>
      <c r="O149" s="2">
        <f>INDEX(Table1[topic_dominant],MATCH(Table2[[#This Row],[id]],Table1[id],0))</f>
        <v>1</v>
      </c>
    </row>
    <row r="150" spans="9:15" ht="28.8" x14ac:dyDescent="0.3">
      <c r="I150" s="2">
        <v>93</v>
      </c>
      <c r="J150" s="2" t="s">
        <v>373</v>
      </c>
      <c r="K150" s="2" t="s">
        <v>165</v>
      </c>
      <c r="L150" s="2" t="s">
        <v>371</v>
      </c>
      <c r="M150" s="2" t="s">
        <v>372</v>
      </c>
      <c r="N150" s="2" t="s">
        <v>71</v>
      </c>
      <c r="O150" s="2">
        <f>INDEX(Table1[topic_dominant],MATCH(Table2[[#This Row],[id]],Table1[id],0))</f>
        <v>1</v>
      </c>
    </row>
    <row r="151" spans="9:15" ht="43.2" x14ac:dyDescent="0.3">
      <c r="I151" s="2">
        <v>94</v>
      </c>
      <c r="J151" s="2" t="s">
        <v>182</v>
      </c>
      <c r="K151" s="2" t="s">
        <v>129</v>
      </c>
      <c r="L151" s="2" t="s">
        <v>198</v>
      </c>
      <c r="M151" s="2" t="s">
        <v>374</v>
      </c>
      <c r="N151" s="2" t="s">
        <v>10</v>
      </c>
      <c r="O151" s="2">
        <f>INDEX(Table1[topic_dominant],MATCH(Table2[[#This Row],[id]],Table1[id],0))</f>
        <v>3</v>
      </c>
    </row>
    <row r="152" spans="9:15" ht="28.8" x14ac:dyDescent="0.3">
      <c r="I152" s="2">
        <v>94</v>
      </c>
      <c r="J152" s="2" t="s">
        <v>182</v>
      </c>
      <c r="K152" s="2" t="s">
        <v>129</v>
      </c>
      <c r="L152" s="2" t="s">
        <v>198</v>
      </c>
      <c r="M152" s="2" t="s">
        <v>375</v>
      </c>
      <c r="N152" s="2" t="s">
        <v>8</v>
      </c>
      <c r="O152" s="2">
        <f>INDEX(Table1[topic_dominant],MATCH(Table2[[#This Row],[id]],Table1[id],0))</f>
        <v>3</v>
      </c>
    </row>
    <row r="153" spans="9:15" ht="28.8" x14ac:dyDescent="0.3">
      <c r="I153" s="2">
        <v>95</v>
      </c>
      <c r="J153" s="2" t="s">
        <v>182</v>
      </c>
      <c r="K153" s="2" t="s">
        <v>129</v>
      </c>
      <c r="L153" s="2" t="s">
        <v>376</v>
      </c>
      <c r="M153" s="2" t="s">
        <v>377</v>
      </c>
      <c r="N153" s="2" t="s">
        <v>8</v>
      </c>
      <c r="O153" s="2">
        <f>INDEX(Table1[topic_dominant],MATCH(Table2[[#This Row],[id]],Table1[id],0))</f>
        <v>3</v>
      </c>
    </row>
    <row r="154" spans="9:15" x14ac:dyDescent="0.3">
      <c r="I154" s="2">
        <v>96</v>
      </c>
      <c r="J154" s="2" t="s">
        <v>112</v>
      </c>
      <c r="K154" s="2" t="s">
        <v>129</v>
      </c>
      <c r="L154" s="2" t="s">
        <v>291</v>
      </c>
      <c r="M154" s="2" t="s">
        <v>378</v>
      </c>
      <c r="N154" s="2" t="s">
        <v>8</v>
      </c>
      <c r="O154" s="2">
        <f>INDEX(Table1[topic_dominant],MATCH(Table2[[#This Row],[id]],Table1[id],0))</f>
        <v>1</v>
      </c>
    </row>
    <row r="155" spans="9:15" ht="43.2" x14ac:dyDescent="0.3">
      <c r="I155" s="2">
        <v>98</v>
      </c>
      <c r="J155" s="2" t="s">
        <v>140</v>
      </c>
      <c r="K155" s="2" t="s">
        <v>129</v>
      </c>
      <c r="L155" s="2" t="s">
        <v>379</v>
      </c>
      <c r="M155" s="2" t="s">
        <v>380</v>
      </c>
      <c r="N155" s="2" t="s">
        <v>8</v>
      </c>
      <c r="O155" s="2">
        <f>INDEX(Table1[topic_dominant],MATCH(Table2[[#This Row],[id]],Table1[id],0))</f>
        <v>3</v>
      </c>
    </row>
    <row r="156" spans="9:15" ht="28.8" x14ac:dyDescent="0.3">
      <c r="I156" s="2">
        <v>98</v>
      </c>
      <c r="J156" s="2" t="s">
        <v>140</v>
      </c>
      <c r="K156" s="2" t="s">
        <v>129</v>
      </c>
      <c r="L156" s="2" t="s">
        <v>379</v>
      </c>
      <c r="M156" s="2" t="s">
        <v>381</v>
      </c>
      <c r="N156" s="2" t="s">
        <v>8</v>
      </c>
      <c r="O156" s="2">
        <f>INDEX(Table1[topic_dominant],MATCH(Table2[[#This Row],[id]],Table1[id],0))</f>
        <v>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swot</vt:lpstr>
      <vt:lpstr>calculation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baha.t.r</dc:creator>
  <cp:lastModifiedBy>baha.t.r</cp:lastModifiedBy>
  <dcterms:created xsi:type="dcterms:W3CDTF">2024-11-16T11:34:15Z</dcterms:created>
  <dcterms:modified xsi:type="dcterms:W3CDTF">2024-12-05T17:09:21Z</dcterms:modified>
</cp:coreProperties>
</file>