
<file path=[Content_Types].xml><?xml version="1.0" encoding="utf-8"?>
<Types xmlns="http://schemas.openxmlformats.org/package/2006/content-type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C:\Users\Baha Tegar\Desktop\aspect-based-sentiment-analysis-demo1\template-dashboard\"/>
    </mc:Choice>
  </mc:AlternateContent>
  <xr:revisionPtr revIDLastSave="0" documentId="13_ncr:1_{45EEA587-FE7B-442E-862C-C3123AD4B18C}" xr6:coauthVersionLast="47" xr6:coauthVersionMax="47" xr10:uidLastSave="{00000000-0000-0000-0000-000000000000}"/>
  <bookViews>
    <workbookView xWindow="-108" yWindow="-108" windowWidth="23256" windowHeight="12456" xr2:uid="{AAD90965-60D7-4A0B-9720-10EF26B7A504}"/>
  </bookViews>
  <sheets>
    <sheet name="dashboard" sheetId="1" r:id="rId1"/>
    <sheet name="calculation" sheetId="4" r:id="rId2"/>
    <sheet name="table-SWOT" sheetId="7" r:id="rId3"/>
    <sheet name="database-aspect" sheetId="8" r:id="rId4"/>
    <sheet name="database-trend" sheetId="9" r:id="rId5"/>
    <sheet name="database-main" sheetId="2" r:id="rId6"/>
  </sheets>
  <definedNames>
    <definedName name="FetchingCondiment">_xlfn._xlws.FILTER(#REF!,(#REF!&lt;=calculation!$D$10)*(#REF!&gt;=calculation!$D$9)*(#REF!=INDEX(calculation!$C$22:$C$28,calculation!$D$3)))</definedName>
    <definedName name="FetchingExperience">_xlfn._xlws.FILTER(#REF!,(#REF!&lt;=calculation!$D$10)*(#REF!&gt;=calculation!$D$9)*(#REF!=INDEX(calculation!$C$22:$C$28,calculation!$D$3)))</definedName>
    <definedName name="FetchingFood">_xlfn._xlws.FILTER(#REF!,(#REF!&lt;=calculation!$D$10)*(#REF!&gt;=calculation!$D$9)*(#REF!=INDEX(calculation!$C$22:$C$28,calculation!$D$3)))</definedName>
    <definedName name="FetchingMiscellaneous">_xlfn._xlws.FILTER(#REF!,(#REF!&lt;=calculation!$D$10)*(#REF!&gt;=calculation!$D$9)*(#REF!=INDEX(calculation!$C$22:$C$28,calculation!$D$3)))</definedName>
    <definedName name="FetchingPackage">_xlfn._xlws.FILTER(#REF!,(#REF!&lt;=calculation!$D$10)*(#REF!&gt;=calculation!$D$9)*(#REF!=INDEX(calculation!$C$22:$C$28,calculation!$D$3)))</definedName>
    <definedName name="FetchingPricing">_xlfn._xlws.FILTER(#REF!,(#REF!&lt;=calculation!$D$10)*(#REF!&gt;=calculation!$D$9)*(#REF!=INDEX(calculation!$C$22:$C$28,calculation!$D$3)))</definedName>
    <definedName name="FetchingService">_xlfn._xlws.FILTER(#REF!,(#REF!&lt;=calculation!$D$10)*(#REF!&gt;=calculation!$D$9)*(#REF!=INDEX(calculation!$C$22:$C$28,calculation!$D$3)))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52" i="4" l="1"/>
  <c r="R53" i="4"/>
  <c r="R54" i="4"/>
  <c r="R55" i="4"/>
  <c r="R56" i="4"/>
  <c r="R57" i="4"/>
  <c r="R58" i="4"/>
  <c r="R59" i="4"/>
  <c r="R60" i="4"/>
  <c r="R61" i="4"/>
  <c r="R62" i="4"/>
  <c r="R63" i="4"/>
  <c r="R64" i="4"/>
  <c r="R65" i="4"/>
  <c r="R66" i="4"/>
  <c r="Q52" i="4" a="1"/>
  <c r="Q52" i="4" s="1"/>
  <c r="Q53" i="4" a="1"/>
  <c r="Q53" i="4" s="1"/>
  <c r="Q54" i="4" a="1"/>
  <c r="Q54" i="4" s="1"/>
  <c r="Q55" i="4" a="1"/>
  <c r="Q55" i="4" s="1"/>
  <c r="Q56" i="4" a="1"/>
  <c r="Q56" i="4" s="1"/>
  <c r="Q57" i="4" a="1"/>
  <c r="Q57" i="4"/>
  <c r="Q58" i="4" a="1"/>
  <c r="Q58" i="4" s="1"/>
  <c r="Q59" i="4" a="1"/>
  <c r="Q59" i="4" s="1"/>
  <c r="Q60" i="4" a="1"/>
  <c r="Q60" i="4" s="1"/>
  <c r="Q61" i="4" a="1"/>
  <c r="Q61" i="4" s="1"/>
  <c r="Q62" i="4" a="1"/>
  <c r="Q62" i="4" s="1"/>
  <c r="Q63" i="4" a="1"/>
  <c r="Q63" i="4"/>
  <c r="Q64" i="4" a="1"/>
  <c r="Q64" i="4" s="1"/>
  <c r="Q65" i="4" a="1"/>
  <c r="Q65" i="4" s="1"/>
  <c r="Q66" i="4" a="1"/>
  <c r="Q66" i="4" s="1"/>
  <c r="P51" i="4" a="1"/>
  <c r="P51" i="4" s="1"/>
  <c r="P52" i="4" a="1"/>
  <c r="P52" i="4" s="1"/>
  <c r="P53" i="4" a="1"/>
  <c r="P53" i="4" s="1"/>
  <c r="P54" i="4" a="1"/>
  <c r="P54" i="4" s="1"/>
  <c r="P55" i="4" a="1"/>
  <c r="P55" i="4" s="1"/>
  <c r="P56" i="4" a="1"/>
  <c r="P56" i="4"/>
  <c r="P57" i="4" a="1"/>
  <c r="P57" i="4" s="1"/>
  <c r="P58" i="4" a="1"/>
  <c r="P58" i="4" s="1"/>
  <c r="P59" i="4" a="1"/>
  <c r="P59" i="4" s="1"/>
  <c r="P60" i="4" a="1"/>
  <c r="P60" i="4" s="1"/>
  <c r="P61" i="4" a="1"/>
  <c r="P61" i="4" s="1"/>
  <c r="P62" i="4" a="1"/>
  <c r="P62" i="4" s="1"/>
  <c r="P63" i="4" a="1"/>
  <c r="P63" i="4" s="1"/>
  <c r="P64" i="4" a="1"/>
  <c r="P64" i="4" s="1"/>
  <c r="P65" i="4" a="1"/>
  <c r="P65" i="4" s="1"/>
  <c r="P66" i="4" a="1"/>
  <c r="P66" i="4" s="1"/>
  <c r="O66" i="4" a="1"/>
  <c r="O66" i="4" s="1"/>
  <c r="O9" i="4" a="1"/>
  <c r="O9" i="4" s="1"/>
  <c r="O10" i="4" a="1"/>
  <c r="O10" i="4" s="1"/>
  <c r="O11" i="4" a="1"/>
  <c r="O11" i="4" s="1"/>
  <c r="O12" i="4" a="1"/>
  <c r="O12" i="4" s="1"/>
  <c r="O13" i="4" a="1"/>
  <c r="O13" i="4" s="1"/>
  <c r="O14" i="4" a="1"/>
  <c r="O14" i="4"/>
  <c r="O15" i="4" a="1"/>
  <c r="O15" i="4" s="1"/>
  <c r="O16" i="4" a="1"/>
  <c r="O16" i="4" s="1"/>
  <c r="O17" i="4" a="1"/>
  <c r="O17" i="4" s="1"/>
  <c r="O18" i="4" a="1"/>
  <c r="O18" i="4" s="1"/>
  <c r="O19" i="4" a="1"/>
  <c r="O19" i="4" s="1"/>
  <c r="O20" i="4" a="1"/>
  <c r="O20" i="4"/>
  <c r="O21" i="4" a="1"/>
  <c r="O21" i="4" s="1"/>
  <c r="O22" i="4" a="1"/>
  <c r="O22" i="4" s="1"/>
  <c r="O23" i="4" a="1"/>
  <c r="O23" i="4" s="1"/>
  <c r="O24" i="4" a="1"/>
  <c r="O24" i="4" s="1"/>
  <c r="O25" i="4" a="1"/>
  <c r="O25" i="4" s="1"/>
  <c r="O26" i="4" a="1"/>
  <c r="O26" i="4"/>
  <c r="O27" i="4" a="1"/>
  <c r="O27" i="4" s="1"/>
  <c r="O28" i="4" a="1"/>
  <c r="O28" i="4" s="1"/>
  <c r="O29" i="4" a="1"/>
  <c r="O29" i="4" s="1"/>
  <c r="O30" i="4" a="1"/>
  <c r="O30" i="4" s="1"/>
  <c r="O31" i="4" a="1"/>
  <c r="O31" i="4" s="1"/>
  <c r="O32" i="4" a="1"/>
  <c r="O32" i="4"/>
  <c r="O33" i="4" a="1"/>
  <c r="O33" i="4" s="1"/>
  <c r="O34" i="4" a="1"/>
  <c r="O34" i="4" s="1"/>
  <c r="O35" i="4" a="1"/>
  <c r="O35" i="4" s="1"/>
  <c r="O36" i="4" a="1"/>
  <c r="O36" i="4" s="1"/>
  <c r="O37" i="4" a="1"/>
  <c r="O37" i="4" s="1"/>
  <c r="O38" i="4" a="1"/>
  <c r="O38" i="4"/>
  <c r="O39" i="4" a="1"/>
  <c r="O39" i="4" s="1"/>
  <c r="O40" i="4" a="1"/>
  <c r="O40" i="4" s="1"/>
  <c r="O41" i="4" a="1"/>
  <c r="O41" i="4" s="1"/>
  <c r="O42" i="4" a="1"/>
  <c r="O42" i="4" s="1"/>
  <c r="O43" i="4" a="1"/>
  <c r="O43" i="4" s="1"/>
  <c r="O44" i="4" a="1"/>
  <c r="O44" i="4" s="1"/>
  <c r="O45" i="4" a="1"/>
  <c r="O45" i="4" s="1"/>
  <c r="O46" i="4" a="1"/>
  <c r="O46" i="4" s="1"/>
  <c r="O47" i="4" a="1"/>
  <c r="O47" i="4" s="1"/>
  <c r="O48" i="4" a="1"/>
  <c r="O48" i="4" s="1"/>
  <c r="O49" i="4" a="1"/>
  <c r="O49" i="4" s="1"/>
  <c r="O50" i="4" a="1"/>
  <c r="O50" i="4" s="1"/>
  <c r="O51" i="4" a="1"/>
  <c r="O51" i="4" s="1"/>
  <c r="O52" i="4" a="1"/>
  <c r="O52" i="4" s="1"/>
  <c r="O53" i="4" a="1"/>
  <c r="O53" i="4" s="1"/>
  <c r="O54" i="4" a="1"/>
  <c r="O54" i="4" s="1"/>
  <c r="O55" i="4" a="1"/>
  <c r="O55" i="4" s="1"/>
  <c r="O56" i="4" a="1"/>
  <c r="O56" i="4" s="1"/>
  <c r="O57" i="4" a="1"/>
  <c r="O57" i="4" s="1"/>
  <c r="O58" i="4" a="1"/>
  <c r="O58" i="4" s="1"/>
  <c r="O59" i="4" a="1"/>
  <c r="O59" i="4" s="1"/>
  <c r="O60" i="4" a="1"/>
  <c r="O60" i="4" s="1"/>
  <c r="O61" i="4" a="1"/>
  <c r="O61" i="4" s="1"/>
  <c r="O62" i="4" a="1"/>
  <c r="O62" i="4" s="1"/>
  <c r="O63" i="4" a="1"/>
  <c r="O63" i="4" s="1"/>
  <c r="O64" i="4" a="1"/>
  <c r="O64" i="4" s="1"/>
  <c r="O65" i="4" a="1"/>
  <c r="O65" i="4" s="1"/>
  <c r="N52" i="4" a="1"/>
  <c r="N52" i="4" s="1"/>
  <c r="N53" i="4" a="1"/>
  <c r="N53" i="4" s="1"/>
  <c r="N54" i="4" a="1"/>
  <c r="N54" i="4" s="1"/>
  <c r="N55" i="4" a="1"/>
  <c r="N55" i="4" s="1"/>
  <c r="N56" i="4" a="1"/>
  <c r="N56" i="4" s="1"/>
  <c r="N57" i="4" a="1"/>
  <c r="N57" i="4"/>
  <c r="N58" i="4" a="1"/>
  <c r="N58" i="4" s="1"/>
  <c r="N59" i="4" a="1"/>
  <c r="N59" i="4" s="1"/>
  <c r="N60" i="4" a="1"/>
  <c r="N60" i="4" s="1"/>
  <c r="N61" i="4" a="1"/>
  <c r="N61" i="4" s="1"/>
  <c r="N62" i="4" a="1"/>
  <c r="N62" i="4" s="1"/>
  <c r="N63" i="4" a="1"/>
  <c r="N63" i="4"/>
  <c r="N64" i="4" a="1"/>
  <c r="N64" i="4" s="1"/>
  <c r="N65" i="4" a="1"/>
  <c r="N65" i="4" s="1"/>
  <c r="N66" i="4" a="1"/>
  <c r="N66" i="4" s="1"/>
  <c r="N9" i="4" a="1"/>
  <c r="N9" i="4" s="1"/>
  <c r="N10" i="4" a="1"/>
  <c r="N10" i="4"/>
  <c r="N11" i="4" a="1"/>
  <c r="N11" i="4"/>
  <c r="N12" i="4" a="1"/>
  <c r="N12" i="4"/>
  <c r="N13" i="4" a="1"/>
  <c r="N13" i="4" s="1"/>
  <c r="N14" i="4" a="1"/>
  <c r="N14" i="4" s="1"/>
  <c r="N15" i="4" a="1"/>
  <c r="N15" i="4" s="1"/>
  <c r="N16" i="4" a="1"/>
  <c r="N16" i="4"/>
  <c r="N17" i="4" a="1"/>
  <c r="N17" i="4"/>
  <c r="N18" i="4" a="1"/>
  <c r="N18" i="4"/>
  <c r="N19" i="4" a="1"/>
  <c r="N19" i="4" s="1"/>
  <c r="N20" i="4" a="1"/>
  <c r="N20" i="4" s="1"/>
  <c r="N21" i="4" a="1"/>
  <c r="N21" i="4" s="1"/>
  <c r="N22" i="4" a="1"/>
  <c r="N22" i="4"/>
  <c r="N23" i="4" a="1"/>
  <c r="N23" i="4"/>
  <c r="N24" i="4" a="1"/>
  <c r="N24" i="4" s="1"/>
  <c r="N25" i="4" a="1"/>
  <c r="N25" i="4" s="1"/>
  <c r="N26" i="4" a="1"/>
  <c r="N26" i="4" s="1"/>
  <c r="N27" i="4" a="1"/>
  <c r="N27" i="4" s="1"/>
  <c r="N28" i="4" a="1"/>
  <c r="N28" i="4"/>
  <c r="N29" i="4" a="1"/>
  <c r="N29" i="4"/>
  <c r="N30" i="4" a="1"/>
  <c r="N30" i="4" s="1"/>
  <c r="N31" i="4" a="1"/>
  <c r="N31" i="4" s="1"/>
  <c r="N32" i="4" a="1"/>
  <c r="N32" i="4" s="1"/>
  <c r="N33" i="4" a="1"/>
  <c r="N33" i="4" s="1"/>
  <c r="N34" i="4" a="1"/>
  <c r="N34" i="4"/>
  <c r="N35" i="4" a="1"/>
  <c r="N35" i="4"/>
  <c r="N36" i="4" a="1"/>
  <c r="N36" i="4" s="1"/>
  <c r="N37" i="4" a="1"/>
  <c r="N37" i="4" s="1"/>
  <c r="N38" i="4" a="1"/>
  <c r="N38" i="4" s="1"/>
  <c r="N39" i="4" a="1"/>
  <c r="N39" i="4" s="1"/>
  <c r="N40" i="4" a="1"/>
  <c r="N40" i="4"/>
  <c r="N41" i="4" a="1"/>
  <c r="N41" i="4" s="1"/>
  <c r="N42" i="4" a="1"/>
  <c r="N42" i="4" s="1"/>
  <c r="N43" i="4" a="1"/>
  <c r="N43" i="4" s="1"/>
  <c r="N44" i="4" a="1"/>
  <c r="N44" i="4" s="1"/>
  <c r="N45" i="4" a="1"/>
  <c r="N45" i="4" s="1"/>
  <c r="N46" i="4" a="1"/>
  <c r="N46" i="4" s="1"/>
  <c r="N47" i="4" a="1"/>
  <c r="N47" i="4" s="1"/>
  <c r="N48" i="4" a="1"/>
  <c r="N48" i="4" s="1"/>
  <c r="N49" i="4" a="1"/>
  <c r="N49" i="4" s="1"/>
  <c r="N50" i="4" a="1"/>
  <c r="N50" i="4" s="1"/>
  <c r="N51" i="4" a="1"/>
  <c r="N51" i="4" s="1"/>
  <c r="M8" i="4" a="1"/>
  <c r="M8" i="4" s="1"/>
  <c r="AV9" i="4" a="1"/>
  <c r="AV9" i="4" s="1"/>
  <c r="H36" i="4" a="1"/>
  <c r="H36" i="4" s="1"/>
  <c r="Q8" i="4" l="1" a="1"/>
  <c r="Q8" i="4" s="1"/>
  <c r="AM13" i="4" a="1"/>
  <c r="AM13" i="4" s="1"/>
  <c r="AR13" i="4" s="1"/>
  <c r="AK11" i="4" a="1"/>
  <c r="AK11" i="4" s="1"/>
  <c r="AM11" i="4" a="1"/>
  <c r="AM11" i="4" s="1"/>
  <c r="AV8" i="4" a="1"/>
  <c r="AV8" i="4" s="1"/>
  <c r="AM10" i="4" a="1"/>
  <c r="AM10" i="4" s="1"/>
  <c r="AA11" i="4" a="1"/>
  <c r="AA11" i="4" s="1"/>
  <c r="H9" i="4" a="1"/>
  <c r="H9" i="4" s="1"/>
  <c r="AK10" i="4" a="1"/>
  <c r="AK10" i="4" s="1"/>
  <c r="AK9" i="4" a="1"/>
  <c r="AK9" i="4" s="1"/>
  <c r="AM9" i="4" a="1"/>
  <c r="AM9" i="4" s="1"/>
  <c r="AL8" i="4" a="1"/>
  <c r="AL8" i="4" s="1"/>
  <c r="AJ5" i="4" a="1"/>
  <c r="AJ5" i="4" s="1"/>
  <c r="P8" i="4" a="1"/>
  <c r="P8" i="4" s="1"/>
  <c r="AK13" i="4" a="1"/>
  <c r="AK13" i="4" s="1"/>
  <c r="AQ13" i="4" s="1"/>
  <c r="AJ13" i="4" a="1"/>
  <c r="AJ13" i="4" s="1"/>
  <c r="AL13" i="4" a="1"/>
  <c r="AL13" i="4" s="1"/>
  <c r="AJ14" i="4" a="1"/>
  <c r="AJ14" i="4" s="1"/>
  <c r="P9" i="4" a="1"/>
  <c r="P9" i="4" s="1"/>
  <c r="AL12" i="4" a="1"/>
  <c r="AL12" i="4" s="1"/>
  <c r="AK14" i="4" a="1"/>
  <c r="AK14" i="4" s="1"/>
  <c r="AM14" i="4" a="1"/>
  <c r="AM14" i="4" s="1"/>
  <c r="AM12" i="4" a="1"/>
  <c r="AM12" i="4" s="1"/>
  <c r="AJ12" i="4" a="1"/>
  <c r="AJ12" i="4" s="1"/>
  <c r="AJ11" i="4" a="1"/>
  <c r="AJ11" i="4" s="1"/>
  <c r="AL11" i="4" a="1"/>
  <c r="AL11" i="4" s="1"/>
  <c r="H7" i="4" a="1"/>
  <c r="H7" i="4" s="1"/>
  <c r="AL14" i="4" a="1"/>
  <c r="AL14" i="4" s="1"/>
  <c r="AK12" i="4" a="1"/>
  <c r="AK12" i="4" s="1"/>
  <c r="AJ10" i="4" a="1"/>
  <c r="AJ10" i="4" s="1"/>
  <c r="AL10" i="4" a="1"/>
  <c r="AL10" i="4" s="1"/>
  <c r="H8" i="4" a="1"/>
  <c r="H8" i="4" s="1"/>
  <c r="N8" i="4" a="1"/>
  <c r="N8" i="4" s="1"/>
  <c r="AJ8" i="4" a="1"/>
  <c r="AJ8" i="4" s="1"/>
  <c r="AJ9" i="4" a="1"/>
  <c r="AJ9" i="4" s="1"/>
  <c r="AP9" i="4" s="1"/>
  <c r="AL9" i="4" a="1"/>
  <c r="AL9" i="4" s="1"/>
  <c r="F7" i="4" a="1"/>
  <c r="F7" i="4" s="1"/>
  <c r="O8" i="4" a="1"/>
  <c r="O8" i="4" s="1"/>
  <c r="F9" i="4" a="1"/>
  <c r="F9" i="4" s="1"/>
  <c r="AK8" i="4" a="1"/>
  <c r="AK8" i="4" s="1"/>
  <c r="AM8" i="4" a="1"/>
  <c r="AM8" i="4" s="1"/>
  <c r="F8" i="4" a="1"/>
  <c r="F8" i="4" s="1"/>
  <c r="R8" i="4"/>
  <c r="Q19" i="4" a="1"/>
  <c r="Q19" i="4" s="1"/>
  <c r="Q31" i="4" a="1"/>
  <c r="Q31" i="4" s="1"/>
  <c r="Q43" i="4" a="1"/>
  <c r="Q43" i="4" s="1"/>
  <c r="P11" i="4" a="1"/>
  <c r="P11" i="4" s="1"/>
  <c r="P23" i="4" a="1"/>
  <c r="P23" i="4" s="1"/>
  <c r="P35" i="4" a="1"/>
  <c r="P35" i="4" s="1"/>
  <c r="P47" i="4" a="1"/>
  <c r="P47" i="4" s="1"/>
  <c r="Q17" i="4" a="1"/>
  <c r="Q17" i="4" s="1"/>
  <c r="P46" i="4" a="1"/>
  <c r="P46" i="4" s="1"/>
  <c r="Q20" i="4" a="1"/>
  <c r="Q20" i="4" s="1"/>
  <c r="Q32" i="4" a="1"/>
  <c r="Q32" i="4" s="1"/>
  <c r="Q44" i="4" a="1"/>
  <c r="Q44" i="4" s="1"/>
  <c r="P12" i="4" a="1"/>
  <c r="P12" i="4" s="1"/>
  <c r="P24" i="4" a="1"/>
  <c r="P24" i="4" s="1"/>
  <c r="P36" i="4" a="1"/>
  <c r="P36" i="4" s="1"/>
  <c r="P48" i="4" a="1"/>
  <c r="P48" i="4" s="1"/>
  <c r="Q41" i="4" a="1"/>
  <c r="Q41" i="4" s="1"/>
  <c r="P34" i="4" a="1"/>
  <c r="P34" i="4" s="1"/>
  <c r="Q9" i="4" a="1"/>
  <c r="Q9" i="4" s="1"/>
  <c r="R9" i="4" s="1"/>
  <c r="Q21" i="4" a="1"/>
  <c r="Q21" i="4" s="1"/>
  <c r="Q33" i="4" a="1"/>
  <c r="Q33" i="4" s="1"/>
  <c r="Q45" i="4" a="1"/>
  <c r="Q45" i="4" s="1"/>
  <c r="P13" i="4" a="1"/>
  <c r="P13" i="4" s="1"/>
  <c r="P25" i="4" a="1"/>
  <c r="P25" i="4" s="1"/>
  <c r="P37" i="4" a="1"/>
  <c r="P37" i="4" s="1"/>
  <c r="P49" i="4" a="1"/>
  <c r="P49" i="4" s="1"/>
  <c r="Q10" i="4" a="1"/>
  <c r="Q10" i="4" s="1"/>
  <c r="Q22" i="4" a="1"/>
  <c r="Q22" i="4" s="1"/>
  <c r="Q34" i="4" a="1"/>
  <c r="Q34" i="4" s="1"/>
  <c r="Q46" i="4" a="1"/>
  <c r="Q46" i="4" s="1"/>
  <c r="P14" i="4" a="1"/>
  <c r="P14" i="4" s="1"/>
  <c r="P26" i="4" a="1"/>
  <c r="P26" i="4" s="1"/>
  <c r="P38" i="4" a="1"/>
  <c r="P38" i="4" s="1"/>
  <c r="P50" i="4" a="1"/>
  <c r="P50" i="4" s="1"/>
  <c r="P33" i="4" a="1"/>
  <c r="P33" i="4" s="1"/>
  <c r="Q18" i="4" a="1"/>
  <c r="Q18" i="4" s="1"/>
  <c r="Q11" i="4" a="1"/>
  <c r="Q11" i="4" s="1"/>
  <c r="Q23" i="4" a="1"/>
  <c r="Q23" i="4" s="1"/>
  <c r="Q35" i="4" a="1"/>
  <c r="Q35" i="4" s="1"/>
  <c r="Q47" i="4" a="1"/>
  <c r="Q47" i="4" s="1"/>
  <c r="P15" i="4" a="1"/>
  <c r="P15" i="4" s="1"/>
  <c r="P27" i="4" a="1"/>
  <c r="P27" i="4" s="1"/>
  <c r="P39" i="4" a="1"/>
  <c r="P39" i="4" s="1"/>
  <c r="Q30" i="4" a="1"/>
  <c r="Q30" i="4" s="1"/>
  <c r="Q12" i="4" a="1"/>
  <c r="Q12" i="4" s="1"/>
  <c r="Q24" i="4" a="1"/>
  <c r="Q24" i="4" s="1"/>
  <c r="Q36" i="4" a="1"/>
  <c r="Q36" i="4" s="1"/>
  <c r="Q48" i="4" a="1"/>
  <c r="Q48" i="4" s="1"/>
  <c r="R48" i="4" s="1"/>
  <c r="P16" i="4" a="1"/>
  <c r="P16" i="4" s="1"/>
  <c r="P28" i="4" a="1"/>
  <c r="P28" i="4" s="1"/>
  <c r="P40" i="4" a="1"/>
  <c r="P40" i="4" s="1"/>
  <c r="P21" i="4" a="1"/>
  <c r="P21" i="4" s="1"/>
  <c r="P22" i="4" a="1"/>
  <c r="P22" i="4" s="1"/>
  <c r="Q13" i="4" a="1"/>
  <c r="Q13" i="4" s="1"/>
  <c r="Q25" i="4" a="1"/>
  <c r="Q25" i="4" s="1"/>
  <c r="Q37" i="4" a="1"/>
  <c r="Q37" i="4" s="1"/>
  <c r="Q49" i="4" a="1"/>
  <c r="Q49" i="4" s="1"/>
  <c r="P17" i="4" a="1"/>
  <c r="P17" i="4" s="1"/>
  <c r="P29" i="4" a="1"/>
  <c r="P29" i="4" s="1"/>
  <c r="P41" i="4" a="1"/>
  <c r="P41" i="4" s="1"/>
  <c r="Q29" i="4" a="1"/>
  <c r="Q29" i="4" s="1"/>
  <c r="Q14" i="4" a="1"/>
  <c r="Q14" i="4" s="1"/>
  <c r="Q26" i="4" a="1"/>
  <c r="Q26" i="4" s="1"/>
  <c r="Q38" i="4" a="1"/>
  <c r="Q38" i="4" s="1"/>
  <c r="Q50" i="4" a="1"/>
  <c r="Q50" i="4" s="1"/>
  <c r="R50" i="4" s="1"/>
  <c r="P18" i="4" a="1"/>
  <c r="P18" i="4" s="1"/>
  <c r="P30" i="4" a="1"/>
  <c r="P30" i="4" s="1"/>
  <c r="P42" i="4" a="1"/>
  <c r="P42" i="4" s="1"/>
  <c r="P45" i="4" a="1"/>
  <c r="P45" i="4" s="1"/>
  <c r="P10" i="4" a="1"/>
  <c r="P10" i="4" s="1"/>
  <c r="Q15" i="4" a="1"/>
  <c r="Q15" i="4" s="1"/>
  <c r="Q27" i="4" a="1"/>
  <c r="Q27" i="4" s="1"/>
  <c r="Q39" i="4" a="1"/>
  <c r="Q39" i="4" s="1"/>
  <c r="Q51" i="4" a="1"/>
  <c r="Q51" i="4" s="1"/>
  <c r="P19" i="4" a="1"/>
  <c r="P19" i="4" s="1"/>
  <c r="P31" i="4" a="1"/>
  <c r="P31" i="4" s="1"/>
  <c r="P43" i="4" a="1"/>
  <c r="P43" i="4" s="1"/>
  <c r="Q42" i="4" a="1"/>
  <c r="Q42" i="4" s="1"/>
  <c r="Q16" i="4" a="1"/>
  <c r="Q16" i="4" s="1"/>
  <c r="Q28" i="4" a="1"/>
  <c r="Q28" i="4" s="1"/>
  <c r="Q40" i="4" a="1"/>
  <c r="Q40" i="4" s="1"/>
  <c r="P20" i="4" a="1"/>
  <c r="P20" i="4" s="1"/>
  <c r="P32" i="4" a="1"/>
  <c r="P32" i="4" s="1"/>
  <c r="P44" i="4" a="1"/>
  <c r="P44" i="4" s="1"/>
  <c r="AQ8" i="4"/>
  <c r="AQ10" i="4"/>
  <c r="AP10" i="4"/>
  <c r="AR10" i="4"/>
  <c r="AP8" i="4"/>
  <c r="AR14" i="4"/>
  <c r="AP14" i="4"/>
  <c r="AQ14" i="4"/>
  <c r="AV14" i="4" a="1"/>
  <c r="AV14" i="4" s="1"/>
  <c r="AV20" i="4" a="1"/>
  <c r="AV20" i="4" s="1"/>
  <c r="AV15" i="4" a="1"/>
  <c r="AV15" i="4" s="1"/>
  <c r="AV17" i="4" a="1"/>
  <c r="AV17" i="4" s="1"/>
  <c r="AV18" i="4" a="1"/>
  <c r="AV18" i="4" s="1"/>
  <c r="AV19" i="4" a="1"/>
  <c r="AV19" i="4" s="1"/>
  <c r="AV16" i="4" a="1"/>
  <c r="AV16" i="4" s="1"/>
  <c r="AV21" i="4" a="1"/>
  <c r="AV21" i="4" s="1"/>
  <c r="AV22" i="4" a="1"/>
  <c r="AV22" i="4" s="1"/>
  <c r="AV23" i="4" a="1"/>
  <c r="AV23" i="4" s="1"/>
  <c r="AV12" i="4" a="1"/>
  <c r="AV12" i="4" s="1"/>
  <c r="AW12" i="4" s="1" a="1"/>
  <c r="AW12" i="4" s="1"/>
  <c r="AV13" i="4" a="1"/>
  <c r="AV13" i="4" s="1"/>
  <c r="AV5" i="4"/>
  <c r="AV6" i="4"/>
  <c r="R40" i="4" l="1"/>
  <c r="R38" i="4"/>
  <c r="R36" i="4"/>
  <c r="R34" i="4"/>
  <c r="R43" i="4"/>
  <c r="R46" i="4"/>
  <c r="R45" i="4"/>
  <c r="R51" i="4"/>
  <c r="R33" i="4"/>
  <c r="R39" i="4"/>
  <c r="R49" i="4"/>
  <c r="R47" i="4"/>
  <c r="R42" i="4"/>
  <c r="R37" i="4"/>
  <c r="R35" i="4"/>
  <c r="AP11" i="4"/>
  <c r="R44" i="4"/>
  <c r="R41" i="4"/>
  <c r="R32" i="4"/>
  <c r="AR11" i="4"/>
  <c r="AP13" i="4"/>
  <c r="AR8" i="4"/>
  <c r="AQ12" i="4"/>
  <c r="AR12" i="4"/>
  <c r="AR9" i="4"/>
  <c r="AP12" i="4"/>
  <c r="R28" i="4"/>
  <c r="R31" i="4"/>
  <c r="R30" i="4"/>
  <c r="R29" i="4"/>
  <c r="R11" i="4"/>
  <c r="R16" i="4"/>
  <c r="R15" i="4"/>
  <c r="R13" i="4"/>
  <c r="R17" i="4"/>
  <c r="R26" i="4"/>
  <c r="R24" i="4"/>
  <c r="R14" i="4"/>
  <c r="R12" i="4"/>
  <c r="R21" i="4"/>
  <c r="R27" i="4"/>
  <c r="R19" i="4"/>
  <c r="R25" i="4"/>
  <c r="R23" i="4"/>
  <c r="R20" i="4"/>
  <c r="R18" i="4"/>
  <c r="R22" i="4"/>
  <c r="R10" i="4"/>
  <c r="AQ9" i="4"/>
  <c r="AQ11" i="4"/>
  <c r="AV7" i="4"/>
  <c r="BA12" i="4" s="1" a="1"/>
  <c r="BA12" i="4" s="1"/>
  <c r="AW16" i="4" a="1"/>
  <c r="AW16" i="4" s="1"/>
  <c r="BA17" i="4" l="1" a="1"/>
  <c r="BA17" i="4" s="1"/>
  <c r="BA18" i="4" a="1"/>
  <c r="BA18" i="4" s="1"/>
  <c r="BA15" i="4" a="1"/>
  <c r="BA15" i="4" s="1"/>
  <c r="BA19" i="4" a="1"/>
  <c r="BA19" i="4" s="1"/>
  <c r="BA13" i="4" a="1"/>
  <c r="BA13" i="4" s="1"/>
  <c r="BA14" i="4" a="1"/>
  <c r="BA14" i="4" s="1"/>
  <c r="BA20" i="4" a="1"/>
  <c r="BA20" i="4" s="1"/>
  <c r="BA21" i="4" a="1"/>
  <c r="BA21" i="4" s="1"/>
  <c r="BA23" i="4" a="1"/>
  <c r="BA23" i="4" s="1"/>
  <c r="BA22" i="4" a="1"/>
  <c r="BA22" i="4" s="1"/>
  <c r="AX17" i="4" a="1"/>
  <c r="AX17" i="4" s="1"/>
  <c r="AW17" i="4" a="1"/>
  <c r="AW17" i="4" s="1"/>
  <c r="AY17" i="4" a="1"/>
  <c r="AY17" i="4" s="1"/>
  <c r="AZ17" i="4" a="1"/>
  <c r="AZ17" i="4" s="1"/>
  <c r="AX15" i="4" a="1"/>
  <c r="AX15" i="4" s="1"/>
  <c r="BC15" i="4" s="1"/>
  <c r="BA16" i="4" a="1"/>
  <c r="BA16" i="4" s="1"/>
  <c r="AZ16" i="4" a="1"/>
  <c r="AZ16" i="4" s="1"/>
  <c r="BB16" i="4" s="1"/>
  <c r="AY16" i="4" a="1"/>
  <c r="AY16" i="4" s="1"/>
  <c r="AZ15" i="4" a="1"/>
  <c r="AZ15" i="4" s="1"/>
  <c r="AY15" i="4" a="1"/>
  <c r="AY15" i="4" s="1"/>
  <c r="AX16" i="4" a="1"/>
  <c r="AX16" i="4" s="1"/>
  <c r="AW15" i="4" a="1"/>
  <c r="AW15" i="4" s="1"/>
  <c r="BB15" i="4" s="1"/>
  <c r="AZ13" i="4" a="1"/>
  <c r="AZ13" i="4" s="1"/>
  <c r="AW13" i="4" a="1"/>
  <c r="AW13" i="4" s="1"/>
  <c r="AY13" i="4" a="1"/>
  <c r="AY13" i="4" s="1"/>
  <c r="AX13" i="4" a="1"/>
  <c r="AX13" i="4" s="1"/>
  <c r="AY23" i="4" a="1"/>
  <c r="AY23" i="4" s="1"/>
  <c r="AW23" i="4" a="1"/>
  <c r="AW23" i="4" s="1"/>
  <c r="AX23" i="4" a="1"/>
  <c r="AX23" i="4" s="1"/>
  <c r="AZ23" i="4" a="1"/>
  <c r="AZ23" i="4" s="1"/>
  <c r="AY19" i="4" a="1"/>
  <c r="AY19" i="4" s="1"/>
  <c r="AX19" i="4" a="1"/>
  <c r="AX19" i="4" s="1"/>
  <c r="BC19" i="4" s="1"/>
  <c r="AW19" i="4" a="1"/>
  <c r="AW19" i="4" s="1"/>
  <c r="BB19" i="4" s="1"/>
  <c r="AZ19" i="4" a="1"/>
  <c r="AZ19" i="4" s="1"/>
  <c r="AZ14" i="4" a="1"/>
  <c r="AZ14" i="4" s="1"/>
  <c r="AY14" i="4" a="1"/>
  <c r="AY14" i="4" s="1"/>
  <c r="AX14" i="4" a="1"/>
  <c r="AX14" i="4" s="1"/>
  <c r="AW14" i="4" a="1"/>
  <c r="AW14" i="4" s="1"/>
  <c r="BB14" i="4" s="1"/>
  <c r="AX22" i="4" a="1"/>
  <c r="AX22" i="4" s="1"/>
  <c r="AZ22" i="4" a="1"/>
  <c r="AZ22" i="4" s="1"/>
  <c r="AY22" i="4" a="1"/>
  <c r="AY22" i="4" s="1"/>
  <c r="AW22" i="4" a="1"/>
  <c r="AW22" i="4" s="1"/>
  <c r="AY12" i="4" a="1"/>
  <c r="AY12" i="4" s="1"/>
  <c r="AZ12" i="4" a="1"/>
  <c r="AZ12" i="4" s="1"/>
  <c r="BE12" i="4" s="1"/>
  <c r="AX12" i="4" a="1"/>
  <c r="AX12" i="4" s="1"/>
  <c r="AZ21" i="4" a="1"/>
  <c r="AZ21" i="4" s="1"/>
  <c r="AW21" i="4" a="1"/>
  <c r="AW21" i="4" s="1"/>
  <c r="BB21" i="4" s="1"/>
  <c r="AY21" i="4" a="1"/>
  <c r="AY21" i="4" s="1"/>
  <c r="AX21" i="4" a="1"/>
  <c r="AX21" i="4" s="1"/>
  <c r="AX18" i="4" a="1"/>
  <c r="AX18" i="4" s="1"/>
  <c r="BC18" i="4" s="1"/>
  <c r="AW18" i="4" a="1"/>
  <c r="AW18" i="4" s="1"/>
  <c r="BB18" i="4" s="1"/>
  <c r="AZ18" i="4" a="1"/>
  <c r="AZ18" i="4" s="1"/>
  <c r="AY18" i="4" a="1"/>
  <c r="AY18" i="4" s="1"/>
  <c r="AZ20" i="4" a="1"/>
  <c r="AZ20" i="4" s="1"/>
  <c r="AW20" i="4" a="1"/>
  <c r="AW20" i="4" s="1"/>
  <c r="AY20" i="4" a="1"/>
  <c r="AY20" i="4" s="1"/>
  <c r="AX20" i="4" a="1"/>
  <c r="AX20" i="4" s="1"/>
  <c r="BC20" i="4" s="1"/>
  <c r="BC14" i="4" l="1"/>
  <c r="BD12" i="4"/>
  <c r="BE22" i="4"/>
  <c r="BE23" i="4"/>
  <c r="BE14" i="4"/>
  <c r="BE13" i="4"/>
  <c r="BE16" i="4"/>
  <c r="BD13" i="4"/>
  <c r="BE17" i="4"/>
  <c r="BE21" i="4"/>
  <c r="BE20" i="4"/>
  <c r="BE19" i="4"/>
  <c r="BE15" i="4"/>
  <c r="BE18" i="4"/>
  <c r="BC13" i="4"/>
  <c r="BD17" i="4"/>
  <c r="BB17" i="4"/>
  <c r="BC17" i="4"/>
  <c r="BC23" i="4"/>
  <c r="BD18" i="4"/>
  <c r="BD14" i="4"/>
  <c r="BD21" i="4"/>
  <c r="BB20" i="4"/>
  <c r="BB23" i="4"/>
  <c r="BD22" i="4"/>
  <c r="BB13" i="4"/>
  <c r="BD20" i="4"/>
  <c r="BD15" i="4"/>
  <c r="BD16" i="4"/>
  <c r="BB22" i="4"/>
  <c r="BC22" i="4"/>
  <c r="BD19" i="4"/>
  <c r="BC16" i="4"/>
  <c r="BD23" i="4"/>
  <c r="BC21" i="4"/>
  <c r="BB12" i="4"/>
  <c r="BC12" i="4"/>
  <c r="AI9" i="4" l="1"/>
  <c r="AI10" i="4"/>
  <c r="AI11" i="4"/>
  <c r="AI12" i="4"/>
  <c r="AI13" i="4"/>
  <c r="AI14" i="4"/>
  <c r="AI8" i="4"/>
  <c r="AN14" i="4" l="1"/>
  <c r="AN11" i="4"/>
  <c r="AN8" i="4"/>
  <c r="AN12" i="4"/>
  <c r="AN10" i="4"/>
  <c r="AN13" i="4"/>
  <c r="AN9" i="4"/>
  <c r="T8" i="4" l="1"/>
  <c r="U8" i="4" s="1"/>
  <c r="AC8" i="4" s="1" a="1"/>
  <c r="AC8" i="4" s="1"/>
  <c r="T18" i="4" l="1"/>
  <c r="T30" i="4"/>
  <c r="T42" i="4"/>
  <c r="T55" i="4"/>
  <c r="T67" i="4"/>
  <c r="T19" i="4"/>
  <c r="T31" i="4"/>
  <c r="T43" i="4"/>
  <c r="T56" i="4"/>
  <c r="T68" i="4"/>
  <c r="T9" i="4"/>
  <c r="T21" i="4"/>
  <c r="T33" i="4"/>
  <c r="T45" i="4"/>
  <c r="T58" i="4"/>
  <c r="T70" i="4"/>
  <c r="T10" i="4"/>
  <c r="T22" i="4"/>
  <c r="T34" i="4"/>
  <c r="T46" i="4"/>
  <c r="T59" i="4"/>
  <c r="T71" i="4"/>
  <c r="T20" i="4"/>
  <c r="T38" i="4"/>
  <c r="T57" i="4"/>
  <c r="T75" i="4"/>
  <c r="T24" i="4"/>
  <c r="T61" i="4"/>
  <c r="T52" i="4"/>
  <c r="T23" i="4"/>
  <c r="T39" i="4"/>
  <c r="T60" i="4"/>
  <c r="T76" i="4"/>
  <c r="T40" i="4"/>
  <c r="T77" i="4"/>
  <c r="T12" i="4"/>
  <c r="T65" i="4"/>
  <c r="T29" i="4"/>
  <c r="T66" i="4"/>
  <c r="T14" i="4"/>
  <c r="T50" i="4"/>
  <c r="T15" i="4"/>
  <c r="T72" i="4"/>
  <c r="T25" i="4"/>
  <c r="T41" i="4"/>
  <c r="T62" i="4"/>
  <c r="V8" i="4"/>
  <c r="T51" i="4"/>
  <c r="T26" i="4"/>
  <c r="T44" i="4"/>
  <c r="T63" i="4"/>
  <c r="T11" i="4"/>
  <c r="T27" i="4"/>
  <c r="T47" i="4"/>
  <c r="T64" i="4"/>
  <c r="T28" i="4"/>
  <c r="T48" i="4"/>
  <c r="T13" i="4"/>
  <c r="T49" i="4"/>
  <c r="T32" i="4"/>
  <c r="T69" i="4"/>
  <c r="T35" i="4"/>
  <c r="T36" i="4"/>
  <c r="T54" i="4"/>
  <c r="T74" i="4"/>
  <c r="T37" i="4"/>
  <c r="T53" i="4"/>
  <c r="T73" i="4"/>
  <c r="T16" i="4"/>
  <c r="T17" i="4"/>
  <c r="V51" i="4" l="1"/>
  <c r="X51" i="4"/>
  <c r="W51" i="4"/>
  <c r="Y51" i="4"/>
  <c r="U51" i="4"/>
  <c r="Y21" i="4"/>
  <c r="U21" i="4"/>
  <c r="V21" i="4"/>
  <c r="W21" i="4"/>
  <c r="X21" i="4"/>
  <c r="AD8" i="4" a="1"/>
  <c r="AD8" i="4" s="1"/>
  <c r="W8" i="4"/>
  <c r="AE8" i="4" s="1" a="1"/>
  <c r="AE8" i="4" s="1"/>
  <c r="X8" i="4"/>
  <c r="AF8" i="4" s="1" a="1"/>
  <c r="AF8" i="4" s="1"/>
  <c r="Y8" i="4"/>
  <c r="Y9" i="4"/>
  <c r="AG9" i="4" s="1" a="1"/>
  <c r="AG9" i="4" s="1"/>
  <c r="U9" i="4"/>
  <c r="AC9" i="4" s="1" a="1"/>
  <c r="AC9" i="4" s="1"/>
  <c r="W9" i="4"/>
  <c r="AE9" i="4" s="1" a="1"/>
  <c r="AE9" i="4" s="1"/>
  <c r="X9" i="4"/>
  <c r="AF9" i="4" s="1" a="1"/>
  <c r="AF9" i="4" s="1"/>
  <c r="V9" i="4"/>
  <c r="AD9" i="4" s="1" a="1"/>
  <c r="AD9" i="4" s="1"/>
  <c r="W62" i="4"/>
  <c r="X62" i="4"/>
  <c r="V62" i="4"/>
  <c r="Y62" i="4"/>
  <c r="U62" i="4"/>
  <c r="X71" i="4"/>
  <c r="V71" i="4"/>
  <c r="W71" i="4"/>
  <c r="Y71" i="4"/>
  <c r="U71" i="4"/>
  <c r="U41" i="4"/>
  <c r="W41" i="4"/>
  <c r="Y41" i="4"/>
  <c r="V41" i="4"/>
  <c r="X41" i="4"/>
  <c r="U56" i="4"/>
  <c r="V56" i="4"/>
  <c r="W56" i="4"/>
  <c r="X56" i="4"/>
  <c r="Y56" i="4"/>
  <c r="W25" i="4"/>
  <c r="Y25" i="4"/>
  <c r="X25" i="4"/>
  <c r="U25" i="4"/>
  <c r="V25" i="4"/>
  <c r="X60" i="4"/>
  <c r="Y60" i="4"/>
  <c r="W60" i="4"/>
  <c r="U60" i="4"/>
  <c r="V60" i="4"/>
  <c r="U53" i="4"/>
  <c r="W53" i="4"/>
  <c r="V53" i="4"/>
  <c r="X53" i="4"/>
  <c r="Y53" i="4"/>
  <c r="V31" i="4"/>
  <c r="X31" i="4"/>
  <c r="Y31" i="4"/>
  <c r="U31" i="4"/>
  <c r="W31" i="4"/>
  <c r="V15" i="4"/>
  <c r="AD15" i="4" s="1" a="1"/>
  <c r="AD15" i="4" s="1"/>
  <c r="X15" i="4"/>
  <c r="AF15" i="4" s="1" a="1"/>
  <c r="AF15" i="4" s="1"/>
  <c r="W15" i="4"/>
  <c r="AE15" i="4" s="1" a="1"/>
  <c r="AE15" i="4" s="1"/>
  <c r="Y15" i="4"/>
  <c r="AG15" i="4" s="1" a="1"/>
  <c r="AG15" i="4" s="1"/>
  <c r="U15" i="4"/>
  <c r="AC15" i="4" s="1" a="1"/>
  <c r="AC15" i="4" s="1"/>
  <c r="V19" i="4"/>
  <c r="U19" i="4"/>
  <c r="W19" i="4"/>
  <c r="X19" i="4"/>
  <c r="Y19" i="4"/>
  <c r="W74" i="4"/>
  <c r="X74" i="4"/>
  <c r="U74" i="4"/>
  <c r="V74" i="4"/>
  <c r="Y74" i="4"/>
  <c r="W50" i="4"/>
  <c r="X50" i="4"/>
  <c r="Y50" i="4"/>
  <c r="U50" i="4"/>
  <c r="V50" i="4"/>
  <c r="V52" i="4"/>
  <c r="W52" i="4"/>
  <c r="X52" i="4"/>
  <c r="Y52" i="4"/>
  <c r="U52" i="4"/>
  <c r="Y10" i="4"/>
  <c r="AG10" i="4" s="1" a="1"/>
  <c r="AG10" i="4" s="1"/>
  <c r="W10" i="4"/>
  <c r="AE10" i="4" s="1" a="1"/>
  <c r="AE10" i="4" s="1"/>
  <c r="U10" i="4"/>
  <c r="AC10" i="4" s="1" a="1"/>
  <c r="AC10" i="4" s="1"/>
  <c r="V10" i="4"/>
  <c r="AD10" i="4" s="1" a="1"/>
  <c r="AD10" i="4" s="1"/>
  <c r="X10" i="4"/>
  <c r="AF10" i="4" s="1" a="1"/>
  <c r="AF10" i="4" s="1"/>
  <c r="V67" i="4"/>
  <c r="X67" i="4"/>
  <c r="Y67" i="4"/>
  <c r="U67" i="4"/>
  <c r="W67" i="4"/>
  <c r="U54" i="4"/>
  <c r="V54" i="4"/>
  <c r="W54" i="4"/>
  <c r="X54" i="4"/>
  <c r="Y54" i="4"/>
  <c r="X11" i="4"/>
  <c r="AF11" i="4" s="1" a="1"/>
  <c r="AF11" i="4" s="1"/>
  <c r="Y11" i="4"/>
  <c r="AG11" i="4" s="1" a="1"/>
  <c r="AG11" i="4" s="1"/>
  <c r="V11" i="4"/>
  <c r="AD11" i="4" s="1" a="1"/>
  <c r="AD11" i="4" s="1"/>
  <c r="U11" i="4"/>
  <c r="AC11" i="4" s="1" a="1"/>
  <c r="AC11" i="4" s="1"/>
  <c r="W11" i="4"/>
  <c r="AE11" i="4" s="1" a="1"/>
  <c r="AE11" i="4" s="1"/>
  <c r="W14" i="4"/>
  <c r="AE14" i="4" s="1" a="1"/>
  <c r="AE14" i="4" s="1"/>
  <c r="X14" i="4"/>
  <c r="AF14" i="4" s="1" a="1"/>
  <c r="AF14" i="4" s="1"/>
  <c r="Y14" i="4"/>
  <c r="AG14" i="4" s="1" a="1"/>
  <c r="AG14" i="4" s="1"/>
  <c r="U14" i="4"/>
  <c r="AC14" i="4" s="1" a="1"/>
  <c r="AC14" i="4" s="1"/>
  <c r="V14" i="4"/>
  <c r="AD14" i="4" s="1" a="1"/>
  <c r="AD14" i="4" s="1"/>
  <c r="W61" i="4"/>
  <c r="Y61" i="4"/>
  <c r="X61" i="4"/>
  <c r="U61" i="4"/>
  <c r="V61" i="4"/>
  <c r="Y70" i="4"/>
  <c r="W70" i="4"/>
  <c r="X70" i="4"/>
  <c r="U70" i="4"/>
  <c r="V70" i="4"/>
  <c r="V55" i="4"/>
  <c r="U55" i="4"/>
  <c r="W55" i="4"/>
  <c r="X55" i="4"/>
  <c r="Y55" i="4"/>
  <c r="X12" i="4"/>
  <c r="AF12" i="4" s="1" a="1"/>
  <c r="AF12" i="4" s="1"/>
  <c r="Y12" i="4"/>
  <c r="AG12" i="4" s="1" a="1"/>
  <c r="AG12" i="4" s="1"/>
  <c r="U12" i="4"/>
  <c r="AC12" i="4" s="1" a="1"/>
  <c r="AC12" i="4" s="1"/>
  <c r="V12" i="4"/>
  <c r="AD12" i="4" s="1" a="1"/>
  <c r="AD12" i="4" s="1"/>
  <c r="W12" i="4"/>
  <c r="AE12" i="4" s="1" a="1"/>
  <c r="AE12" i="4" s="1"/>
  <c r="W49" i="4"/>
  <c r="Y49" i="4"/>
  <c r="X49" i="4"/>
  <c r="U49" i="4"/>
  <c r="V49" i="4"/>
  <c r="U77" i="4"/>
  <c r="W77" i="4"/>
  <c r="Y77" i="4"/>
  <c r="V77" i="4"/>
  <c r="X77" i="4"/>
  <c r="U17" i="4"/>
  <c r="AC17" i="4" s="1" a="1"/>
  <c r="AC17" i="4" s="1"/>
  <c r="W17" i="4"/>
  <c r="AE17" i="4" s="1" a="1"/>
  <c r="AE17" i="4" s="1"/>
  <c r="V17" i="4"/>
  <c r="AD17" i="4" s="1" a="1"/>
  <c r="AD17" i="4" s="1"/>
  <c r="X17" i="4"/>
  <c r="AF17" i="4" s="1" a="1"/>
  <c r="AF17" i="4" s="1"/>
  <c r="Y17" i="4"/>
  <c r="AG17" i="4" s="1" a="1"/>
  <c r="AG17" i="4" s="1"/>
  <c r="V40" i="4"/>
  <c r="W40" i="4"/>
  <c r="Y40" i="4"/>
  <c r="U40" i="4"/>
  <c r="X40" i="4"/>
  <c r="V16" i="4"/>
  <c r="AD16" i="4" s="1" a="1"/>
  <c r="AD16" i="4" s="1"/>
  <c r="W16" i="4"/>
  <c r="AE16" i="4" s="1" a="1"/>
  <c r="AE16" i="4" s="1"/>
  <c r="X16" i="4"/>
  <c r="AF16" i="4" s="1" a="1"/>
  <c r="AF16" i="4" s="1"/>
  <c r="Y16" i="4"/>
  <c r="AG16" i="4" s="1" a="1"/>
  <c r="AG16" i="4" s="1"/>
  <c r="U16" i="4"/>
  <c r="AC16" i="4" s="1" a="1"/>
  <c r="AC16" i="4" s="1"/>
  <c r="V76" i="4"/>
  <c r="W76" i="4"/>
  <c r="U76" i="4"/>
  <c r="X76" i="4"/>
  <c r="Y76" i="4"/>
  <c r="V28" i="4"/>
  <c r="W28" i="4"/>
  <c r="U28" i="4"/>
  <c r="X28" i="4"/>
  <c r="Y28" i="4"/>
  <c r="V43" i="4"/>
  <c r="W43" i="4"/>
  <c r="X43" i="4"/>
  <c r="Y43" i="4"/>
  <c r="U43" i="4"/>
  <c r="X72" i="4"/>
  <c r="Y72" i="4"/>
  <c r="V72" i="4"/>
  <c r="W72" i="4"/>
  <c r="U72" i="4"/>
  <c r="V39" i="4"/>
  <c r="X39" i="4"/>
  <c r="U39" i="4"/>
  <c r="W39" i="4"/>
  <c r="Y39" i="4"/>
  <c r="W37" i="4"/>
  <c r="Y37" i="4"/>
  <c r="U37" i="4"/>
  <c r="V37" i="4"/>
  <c r="X37" i="4"/>
  <c r="X23" i="4"/>
  <c r="U23" i="4"/>
  <c r="Y23" i="4"/>
  <c r="V23" i="4"/>
  <c r="W23" i="4"/>
  <c r="V27" i="4"/>
  <c r="X27" i="4"/>
  <c r="W27" i="4"/>
  <c r="Y27" i="4"/>
  <c r="U27" i="4"/>
  <c r="V63" i="4"/>
  <c r="X63" i="4"/>
  <c r="W63" i="4"/>
  <c r="Y63" i="4"/>
  <c r="U63" i="4"/>
  <c r="X24" i="4"/>
  <c r="Y24" i="4"/>
  <c r="W24" i="4"/>
  <c r="U24" i="4"/>
  <c r="V24" i="4"/>
  <c r="Y58" i="4"/>
  <c r="U58" i="4"/>
  <c r="V58" i="4"/>
  <c r="W58" i="4"/>
  <c r="X58" i="4"/>
  <c r="X35" i="4"/>
  <c r="V35" i="4"/>
  <c r="W35" i="4"/>
  <c r="Y35" i="4"/>
  <c r="U35" i="4"/>
  <c r="U44" i="4"/>
  <c r="V44" i="4"/>
  <c r="W44" i="4"/>
  <c r="X44" i="4"/>
  <c r="Y44" i="4"/>
  <c r="U29" i="4"/>
  <c r="W29" i="4"/>
  <c r="Y29" i="4"/>
  <c r="V29" i="4"/>
  <c r="X29" i="4"/>
  <c r="V75" i="4"/>
  <c r="X75" i="4"/>
  <c r="U75" i="4"/>
  <c r="W75" i="4"/>
  <c r="Y75" i="4"/>
  <c r="Y45" i="4"/>
  <c r="U45" i="4"/>
  <c r="W45" i="4"/>
  <c r="V45" i="4"/>
  <c r="X45" i="4"/>
  <c r="U30" i="4"/>
  <c r="V30" i="4"/>
  <c r="Y30" i="4"/>
  <c r="W30" i="4"/>
  <c r="X30" i="4"/>
  <c r="U32" i="4"/>
  <c r="X32" i="4"/>
  <c r="V32" i="4"/>
  <c r="Y32" i="4"/>
  <c r="W32" i="4"/>
  <c r="W38" i="4"/>
  <c r="X38" i="4"/>
  <c r="U38" i="4"/>
  <c r="V38" i="4"/>
  <c r="Y38" i="4"/>
  <c r="U20" i="4"/>
  <c r="V20" i="4"/>
  <c r="W20" i="4"/>
  <c r="X20" i="4"/>
  <c r="Y20" i="4"/>
  <c r="W13" i="4"/>
  <c r="AE13" i="4" s="1" a="1"/>
  <c r="AE13" i="4" s="1"/>
  <c r="Y13" i="4"/>
  <c r="AG13" i="4" s="1" a="1"/>
  <c r="AG13" i="4" s="1"/>
  <c r="X13" i="4"/>
  <c r="AF13" i="4" s="1" a="1"/>
  <c r="AF13" i="4" s="1"/>
  <c r="U13" i="4"/>
  <c r="AC13" i="4" s="1" a="1"/>
  <c r="AC13" i="4" s="1"/>
  <c r="V13" i="4"/>
  <c r="AD13" i="4" s="1" a="1"/>
  <c r="AD13" i="4" s="1"/>
  <c r="U68" i="4"/>
  <c r="X68" i="4"/>
  <c r="V68" i="4"/>
  <c r="Y68" i="4"/>
  <c r="W68" i="4"/>
  <c r="X48" i="4"/>
  <c r="Y48" i="4"/>
  <c r="U48" i="4"/>
  <c r="V48" i="4"/>
  <c r="W48" i="4"/>
  <c r="X59" i="4"/>
  <c r="U59" i="4"/>
  <c r="Y59" i="4"/>
  <c r="V59" i="4"/>
  <c r="W59" i="4"/>
  <c r="W73" i="4"/>
  <c r="Y73" i="4"/>
  <c r="U73" i="4"/>
  <c r="V73" i="4"/>
  <c r="X73" i="4"/>
  <c r="Y46" i="4"/>
  <c r="W46" i="4"/>
  <c r="U46" i="4"/>
  <c r="V46" i="4"/>
  <c r="X46" i="4"/>
  <c r="V64" i="4"/>
  <c r="W64" i="4"/>
  <c r="U64" i="4"/>
  <c r="X64" i="4"/>
  <c r="Y64" i="4"/>
  <c r="Y34" i="4"/>
  <c r="U34" i="4"/>
  <c r="W34" i="4"/>
  <c r="X34" i="4"/>
  <c r="V34" i="4"/>
  <c r="X47" i="4"/>
  <c r="Y47" i="4"/>
  <c r="V47" i="4"/>
  <c r="U47" i="4"/>
  <c r="W47" i="4"/>
  <c r="Y22" i="4"/>
  <c r="U22" i="4"/>
  <c r="V22" i="4"/>
  <c r="W22" i="4"/>
  <c r="X22" i="4"/>
  <c r="X36" i="4"/>
  <c r="Y36" i="4"/>
  <c r="V36" i="4"/>
  <c r="W36" i="4"/>
  <c r="U36" i="4"/>
  <c r="U66" i="4"/>
  <c r="V66" i="4"/>
  <c r="Y66" i="4"/>
  <c r="W66" i="4"/>
  <c r="X66" i="4"/>
  <c r="U42" i="4"/>
  <c r="V42" i="4"/>
  <c r="W42" i="4"/>
  <c r="X42" i="4"/>
  <c r="Y42" i="4"/>
  <c r="Y69" i="4"/>
  <c r="U69" i="4"/>
  <c r="W69" i="4"/>
  <c r="X69" i="4"/>
  <c r="V69" i="4"/>
  <c r="W26" i="4"/>
  <c r="X26" i="4"/>
  <c r="Y26" i="4"/>
  <c r="V26" i="4"/>
  <c r="U26" i="4"/>
  <c r="U65" i="4"/>
  <c r="W65" i="4"/>
  <c r="Y65" i="4"/>
  <c r="V65" i="4"/>
  <c r="X65" i="4"/>
  <c r="Y57" i="4"/>
  <c r="U57" i="4"/>
  <c r="V57" i="4"/>
  <c r="W57" i="4"/>
  <c r="X57" i="4"/>
  <c r="Y33" i="4"/>
  <c r="U33" i="4"/>
  <c r="W33" i="4"/>
  <c r="X33" i="4"/>
  <c r="V33" i="4"/>
  <c r="U18" i="4"/>
  <c r="V18" i="4"/>
  <c r="W18" i="4"/>
  <c r="X18" i="4"/>
  <c r="Y18" i="4"/>
  <c r="AG8" i="4" a="1"/>
  <c r="AG8" i="4" s="1"/>
  <c r="AA9"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<sst xmlns="http://schemas.openxmlformats.org/spreadsheetml/2006/main" count="1320" uniqueCount="522">
  <si>
    <t>Name</t>
  </si>
  <si>
    <t>review_time</t>
  </si>
  <si>
    <t>rating</t>
  </si>
  <si>
    <t>aspect_sentiment</t>
  </si>
  <si>
    <t>topic</t>
  </si>
  <si>
    <t>● coffee grounds: negative
● coffee: negative
● sugars: negative
● creamers: negative
● splendas: negative</t>
  </si>
  <si>
    <t>Condiments</t>
  </si>
  <si>
    <t>● mcdonald: negative
● fries: negative
● sauce: negative
● fry containerss: negative</t>
  </si>
  <si>
    <t>● sausage: negative
● egg: negative
● syrup: negative
● butter: negative
● breakfast with hot cakes: neutral
● utensils: negative
● condiments: negative</t>
  </si>
  <si>
    <t>● food: negative
● price: negative
● pickles: negative</t>
  </si>
  <si>
    <t>● sauce: negative
● mcdonald: negative
● bbq sauce: negative</t>
  </si>
  <si>
    <t>● chicken mcnuggets: positive
● manager: negative
● service: negative
● sauce: negative
● chicken: negative</t>
  </si>
  <si>
    <t>● heat lamp: positive
● food: positive
● meal periods: negative</t>
  </si>
  <si>
    <t>Experience and Environment</t>
  </si>
  <si>
    <t>● serving: negative
● service: negative
● wait: negative</t>
  </si>
  <si>
    <t>● time management: negative
● work: negative
● staff: negative
● manors: negative
● teamwork: negative</t>
  </si>
  <si>
    <t>● orders: negative
● service: negative</t>
  </si>
  <si>
    <t>● uber: neutral</t>
  </si>
  <si>
    <t>● places: positive
● entrances: negative
● drive thru line: negative
● food: positive
● staff: positive</t>
  </si>
  <si>
    <t>● wait: negative
● caramel mocha: positive</t>
  </si>
  <si>
    <t>● manager: negative
● fries: neutral
● order: negative</t>
  </si>
  <si>
    <t>● food window: neutral
● fry: neutral
● meal: neutral</t>
  </si>
  <si>
    <t>● management: negative
● portion: negative
● carton: negative</t>
  </si>
  <si>
    <t>● order menu: negative
● thru line: negative
● drive: neutral
● dinner: neutral
● orders: negative
● pinball arcade: neutral</t>
  </si>
  <si>
    <t>● meal: negative
● wait: negative
● fries: positive</t>
  </si>
  <si>
    <t>● appearance: negative
● wait: negative
● bathrooms: neutral
● lobby: positive
● staff: negative</t>
  </si>
  <si>
    <t>● dinner: positive
● lunch: positive
● breakfast: positive
● served: positive
● food: positive</t>
  </si>
  <si>
    <t>● order: negative</t>
  </si>
  <si>
    <t>● food: negative
● substance: negative</t>
  </si>
  <si>
    <t>● food: neutral
● taste: negative</t>
  </si>
  <si>
    <t>● fast food: positive
● atmosphere: positive
● food: positive
● staff: positive</t>
  </si>
  <si>
    <t>● wait: negative
● door: negative</t>
  </si>
  <si>
    <t>Food and Menu Items</t>
  </si>
  <si>
    <t>● frozen lemonade: negative</t>
  </si>
  <si>
    <t>● pounder: positive
● quarter: positive
● double: positive
● sausage biscuit: positive</t>
  </si>
  <si>
    <t>● sandwich: positive
● crew: positive
● manager: positive</t>
  </si>
  <si>
    <t>● manager: negative
● fries: positive</t>
  </si>
  <si>
    <t>● fries: negative
● fountain drinks: positive
● dish soap: positive
● tea: positive</t>
  </si>
  <si>
    <t>● lady: negative
● burger: negative</t>
  </si>
  <si>
    <t>● hamburger wrapper: neutral
● cheese: positive
● bag: neutral
● meat: neutral
● buns: positive</t>
  </si>
  <si>
    <t>● food: positive
● meals: positive
● burgers: negative
● cheeseburgers: neutral</t>
  </si>
  <si>
    <t>● food: negative</t>
  </si>
  <si>
    <t>● employees: negative
● food: negative</t>
  </si>
  <si>
    <t>● price: positive
● food: positive
● fries: negative
● cashier: negative
● nuggets: negative</t>
  </si>
  <si>
    <t>● food: negative
● customer service: negative
● baked beans: negative</t>
  </si>
  <si>
    <t>● mcdonald: positive
● food: positive</t>
  </si>
  <si>
    <t>● food: negative
● drink: neutral
● fry: neutral
● meal: neutral</t>
  </si>
  <si>
    <t>● customer service: negative
● food: negative
● service: negative</t>
  </si>
  <si>
    <t>● food: neutral</t>
  </si>
  <si>
    <t>● meal: negative
● fry: negative
● extra: negative
● fries: negative
● service: negative</t>
  </si>
  <si>
    <t>● speaker: positive
● food: neutral
● fast food: neutral</t>
  </si>
  <si>
    <t>● meal: neutral
● google: neutral</t>
  </si>
  <si>
    <t>● cup: positive
● tea: positive
● sweet: positive
● coffee: positive</t>
  </si>
  <si>
    <t>● meal: positive
● service: negative
● bite: positive</t>
  </si>
  <si>
    <t>● service: positive
● food: positive
● cashier: positive</t>
  </si>
  <si>
    <t>● staff: negative
● cookie: negative
● apples strawberries: neutral</t>
  </si>
  <si>
    <t>● coffee: positive
● workers: positive</t>
  </si>
  <si>
    <t>● kitchen staff: negative
● fast food: negative</t>
  </si>
  <si>
    <t>● food: negative
● shift manager: negative</t>
  </si>
  <si>
    <t>● cream: negative
● ice: negative
● ice cream: negative
● oreo mcry: neutral</t>
  </si>
  <si>
    <t>● deluxe: negative
● spicy chicken sandwich: negative
● chicken sandwiches: negative
● fry: negative
● large: neutral
● crispy chicken sandwich: negative
● lettuce and tomato: negative
● spicey chicken sandwiches: negative</t>
  </si>
  <si>
    <t>● service: negative
● water: positive
● strawberry banana smoothies: positive
● smoothie: negative
● hash brownsies: positive</t>
  </si>
  <si>
    <t>● employees: negative
● coke: neutral</t>
  </si>
  <si>
    <t>● ice cream: positive
● fries: positive</t>
  </si>
  <si>
    <t>● food: neutral
● drinks: neutral
● food items: neutral</t>
  </si>
  <si>
    <t>● ice cream: negative</t>
  </si>
  <si>
    <t>● chicken: negative
● meal: negative</t>
  </si>
  <si>
    <t>● food burger: negative
● drink cups: negative
● food: negative</t>
  </si>
  <si>
    <t>● drink: negative
● employee: negative
● drinks: negative</t>
  </si>
  <si>
    <t>● food: positive
● service: positive</t>
  </si>
  <si>
    <t>● fast food: negative</t>
  </si>
  <si>
    <t>● service: positive
● staff: positive
● fast food: positive</t>
  </si>
  <si>
    <t>● cookies: positive
● hamburg: negative
● customer service: negative</t>
  </si>
  <si>
    <t>● bag of food: neutral
● drink: negative</t>
  </si>
  <si>
    <t>● chicken sandwich: negative
● food: negative
● tables: negative</t>
  </si>
  <si>
    <t>● fries: negative
● meal: negative
● filet of fish: neutral</t>
  </si>
  <si>
    <t>● sandwich: positive
● service: positive
● customer: positive
● crispy chicken sandwich: positive</t>
  </si>
  <si>
    <t>● service: negative
● food: neutral
● fast food: neutral
● drink: neutral
● staff: negative
● caffeine: neutral</t>
  </si>
  <si>
    <t>● kitchen: negative</t>
  </si>
  <si>
    <t>Miscellaneous</t>
  </si>
  <si>
    <t>● mcdonald: negative
● management: negative
● staff: negative</t>
  </si>
  <si>
    <t>● mcdonald: negative
● staffed: negative</t>
  </si>
  <si>
    <t>● area: negative
● price range: negative
● prices: negative
● employees: negative</t>
  </si>
  <si>
    <t>● robots: negative</t>
  </si>
  <si>
    <t>● cooks: negative
● staff: negative</t>
  </si>
  <si>
    <t>● br: negative
● menu: negative</t>
  </si>
  <si>
    <t>● order taker: negative</t>
  </si>
  <si>
    <t>● messed: negative</t>
  </si>
  <si>
    <t>● money: negative
● card: negative</t>
  </si>
  <si>
    <t>● speaker: neutral</t>
  </si>
  <si>
    <t>Packaging</t>
  </si>
  <si>
    <t>Pricing and Value</t>
  </si>
  <si>
    <t>Service and Staff</t>
  </si>
  <si>
    <t>● morning staff: positive
● evening staff: positive</t>
  </si>
  <si>
    <t>● attendant: negative
● manager: negative
● attendants: negative</t>
  </si>
  <si>
    <t>● worker: negative</t>
  </si>
  <si>
    <t>● manager: positive
● customer service: positive</t>
  </si>
  <si>
    <t>● manager: negative
● representative: negative</t>
  </si>
  <si>
    <t>● staff: positive</t>
  </si>
  <si>
    <t>● customer service: negative</t>
  </si>
  <si>
    <t>● supervisor: negative
● general: negative</t>
  </si>
  <si>
    <t>● manager: negative</t>
  </si>
  <si>
    <t>● service: positive</t>
  </si>
  <si>
    <t>● staff: negative
● night crew: positive
● morning crew: positive</t>
  </si>
  <si>
    <t>● employees: negative
● service: negative</t>
  </si>
  <si>
    <t>Selected Information</t>
  </si>
  <si>
    <t>Selected Topic</t>
  </si>
  <si>
    <t>For References</t>
  </si>
  <si>
    <t>Topic</t>
  </si>
  <si>
    <t>Rating</t>
  </si>
  <si>
    <t>From</t>
  </si>
  <si>
    <t>Table Aspect Handling</t>
  </si>
  <si>
    <t>aspect</t>
  </si>
  <si>
    <t>negative</t>
  </si>
  <si>
    <t>neutral</t>
  </si>
  <si>
    <t>positive</t>
  </si>
  <si>
    <t>total</t>
  </si>
  <si>
    <t>food</t>
  </si>
  <si>
    <t>heat lamp</t>
  </si>
  <si>
    <t>kitchen</t>
  </si>
  <si>
    <t>meal period</t>
  </si>
  <si>
    <t>serve</t>
  </si>
  <si>
    <t>service</t>
  </si>
  <si>
    <t>wait</t>
  </si>
  <si>
    <t>work</t>
  </si>
  <si>
    <t>time management</t>
  </si>
  <si>
    <t>staff</t>
  </si>
  <si>
    <t>teamwork</t>
  </si>
  <si>
    <t>manor</t>
  </si>
  <si>
    <t>frozen lemonade</t>
  </si>
  <si>
    <t>evening staff</t>
  </si>
  <si>
    <t>morning staff</t>
  </si>
  <si>
    <t>pounder</t>
  </si>
  <si>
    <t>uber</t>
  </si>
  <si>
    <t>tea</t>
  </si>
  <si>
    <t>sugar</t>
  </si>
  <si>
    <t>splendas</t>
  </si>
  <si>
    <t>sausage biscuit</t>
  </si>
  <si>
    <t>sandwich</t>
  </si>
  <si>
    <t>quarter</t>
  </si>
  <si>
    <t>order</t>
  </si>
  <si>
    <t>fry</t>
  </si>
  <si>
    <t>lady</t>
  </si>
  <si>
    <t>fountain drink</t>
  </si>
  <si>
    <t>double</t>
  </si>
  <si>
    <t>dish soap</t>
  </si>
  <si>
    <t>crew</t>
  </si>
  <si>
    <t>creamer</t>
  </si>
  <si>
    <t>coffee ground</t>
  </si>
  <si>
    <t>coffee</t>
  </si>
  <si>
    <t>burger</t>
  </si>
  <si>
    <t>manager</t>
  </si>
  <si>
    <t>mcdonald</t>
  </si>
  <si>
    <t>meal</t>
  </si>
  <si>
    <t>meat</t>
  </si>
  <si>
    <t>worker</t>
  </si>
  <si>
    <t>sauce</t>
  </si>
  <si>
    <t>hamburger wrapper</t>
  </si>
  <si>
    <t>place</t>
  </si>
  <si>
    <t>fry containerss</t>
  </si>
  <si>
    <t>cheese</t>
  </si>
  <si>
    <t>bag</t>
  </si>
  <si>
    <t>bun</t>
  </si>
  <si>
    <t>caramel mocha</t>
  </si>
  <si>
    <t>attendant</t>
  </si>
  <si>
    <t>cheeseburger</t>
  </si>
  <si>
    <t>drive thru line</t>
  </si>
  <si>
    <t>employee</t>
  </si>
  <si>
    <t>entrance</t>
  </si>
  <si>
    <t>representative</t>
  </si>
  <si>
    <t>nugget</t>
  </si>
  <si>
    <t>pickle</t>
  </si>
  <si>
    <t>portion</t>
  </si>
  <si>
    <t>price</t>
  </si>
  <si>
    <t>price range</t>
  </si>
  <si>
    <t>management</t>
  </si>
  <si>
    <t>robot</t>
  </si>
  <si>
    <t>speaker</t>
  </si>
  <si>
    <t>sausage</t>
  </si>
  <si>
    <t>shift manager</t>
  </si>
  <si>
    <t>supervisor</t>
  </si>
  <si>
    <t>syrup</t>
  </si>
  <si>
    <t>utensil</t>
  </si>
  <si>
    <t>kitchen staff</t>
  </si>
  <si>
    <t>google</t>
  </si>
  <si>
    <t>sweet</t>
  </si>
  <si>
    <t>apple strawberry</t>
  </si>
  <si>
    <t>area</t>
  </si>
  <si>
    <t>bake bean</t>
  </si>
  <si>
    <t>bbq sauce</t>
  </si>
  <si>
    <t>general</t>
  </si>
  <si>
    <t>bite</t>
  </si>
  <si>
    <t>breakfast with hot cake</t>
  </si>
  <si>
    <t>butter</t>
  </si>
  <si>
    <t>carton</t>
  </si>
  <si>
    <t>condiment</t>
  </si>
  <si>
    <t>cashier</t>
  </si>
  <si>
    <t>cookie</t>
  </si>
  <si>
    <t>cup</t>
  </si>
  <si>
    <t>customer service</t>
  </si>
  <si>
    <t>drink</t>
  </si>
  <si>
    <t>egg</t>
  </si>
  <si>
    <t>extra</t>
  </si>
  <si>
    <t>fast food</t>
  </si>
  <si>
    <t>food window</t>
  </si>
  <si>
    <t>cook</t>
  </si>
  <si>
    <t>br</t>
  </si>
  <si>
    <t>menu</t>
  </si>
  <si>
    <t>oreo mcry</t>
  </si>
  <si>
    <t>order taker</t>
  </si>
  <si>
    <t>ice cream</t>
  </si>
  <si>
    <t>ice</t>
  </si>
  <si>
    <t>cream</t>
  </si>
  <si>
    <t>pinball arcade</t>
  </si>
  <si>
    <t>thru line</t>
  </si>
  <si>
    <t>spicy chicken sandwich</t>
  </si>
  <si>
    <t>spicey chicken sandwich</t>
  </si>
  <si>
    <t>order menu</t>
  </si>
  <si>
    <t>lettuce and tomato</t>
  </si>
  <si>
    <t>drive</t>
  </si>
  <si>
    <t>dinner</t>
  </si>
  <si>
    <t>deluxe</t>
  </si>
  <si>
    <t>crispy chicken sandwich</t>
  </si>
  <si>
    <t>chicken sandwich</t>
  </si>
  <si>
    <t>large</t>
  </si>
  <si>
    <t>water</t>
  </si>
  <si>
    <t>lunch</t>
  </si>
  <si>
    <t>strawberry banana smoothie</t>
  </si>
  <si>
    <t>lobby</t>
  </si>
  <si>
    <t>smoothie</t>
  </si>
  <si>
    <t>coke</t>
  </si>
  <si>
    <t>breakfast</t>
  </si>
  <si>
    <t>bathroom</t>
  </si>
  <si>
    <t>appearance</t>
  </si>
  <si>
    <t>hash brownsie</t>
  </si>
  <si>
    <t>night crew</t>
  </si>
  <si>
    <t>morning crew</t>
  </si>
  <si>
    <t>food item</t>
  </si>
  <si>
    <t>mess</t>
  </si>
  <si>
    <t>food burger</t>
  </si>
  <si>
    <t>chicken</t>
  </si>
  <si>
    <t>drink cup</t>
  </si>
  <si>
    <t>card</t>
  </si>
  <si>
    <t>money</t>
  </si>
  <si>
    <t>substance</t>
  </si>
  <si>
    <t>hamburg</t>
  </si>
  <si>
    <t>chicken mcnugget</t>
  </si>
  <si>
    <t>table</t>
  </si>
  <si>
    <t>filet of fish</t>
  </si>
  <si>
    <t>bag of food</t>
  </si>
  <si>
    <t>taste</t>
  </si>
  <si>
    <t>customer</t>
  </si>
  <si>
    <t>caffeine</t>
  </si>
  <si>
    <t>atmosphere</t>
  </si>
  <si>
    <t>door</t>
  </si>
  <si>
    <t xml:space="preserve">Base </t>
  </si>
  <si>
    <t>Max</t>
  </si>
  <si>
    <t>Min</t>
  </si>
  <si>
    <t>Pagination Aspect Table</t>
  </si>
  <si>
    <t>Table Topic Distribution</t>
  </si>
  <si>
    <t>Title:</t>
  </si>
  <si>
    <t>dummy</t>
  </si>
  <si>
    <t>% positive</t>
  </si>
  <si>
    <t>% neutral</t>
  </si>
  <si>
    <t>% negative</t>
  </si>
  <si>
    <t>year</t>
  </si>
  <si>
    <t>month</t>
  </si>
  <si>
    <t>rating_sum</t>
  </si>
  <si>
    <t>rating_count</t>
  </si>
  <si>
    <t>unique</t>
  </si>
  <si>
    <t>Unique</t>
  </si>
  <si>
    <t>Trend Calculation</t>
  </si>
  <si>
    <t>Month</t>
  </si>
  <si>
    <t>Pagination Trend</t>
  </si>
  <si>
    <t>label</t>
  </si>
  <si>
    <t>Frequency</t>
  </si>
  <si>
    <t>Select Metrics</t>
  </si>
  <si>
    <t>Metrics</t>
  </si>
  <si>
    <t>Count Empty rating</t>
  </si>
  <si>
    <t>Len table</t>
  </si>
  <si>
    <t>is_ratingNotFail?</t>
  </si>
  <si>
    <t>Title</t>
  </si>
  <si>
    <t>helper variables:</t>
  </si>
  <si>
    <t>Score Cards</t>
  </si>
  <si>
    <t>Fine</t>
  </si>
  <si>
    <t>Strength</t>
  </si>
  <si>
    <t>Weakness</t>
  </si>
  <si>
    <t>Crispy chicken sandwich was delicious, and customer service was quick and efficient.</t>
  </si>
  <si>
    <t>Staff at McDonald's are friendly, accommodating, and always smiling.</t>
  </si>
  <si>
    <t>Food is always hot, fresh, and served with a smile.</t>
  </si>
  <si>
    <t>Great service, food hot, and good food are the best things ever.</t>
  </si>
  <si>
    <t>Cashiers are very nice.</t>
  </si>
  <si>
    <t>Evening manager is exceptionally kind.</t>
  </si>
  <si>
    <t>Staff is very kind, and food is usually prepared in a timely manner.</t>
  </si>
  <si>
    <t>Frappes are consistently good, and the machine works reliably.</t>
  </si>
  <si>
    <t>A good place to grab a quick bite near Lake Creek.</t>
  </si>
  <si>
    <t>Ice cream and fries are described as the best in the world.</t>
  </si>
  <si>
    <t>Frequent issues with incorrect or incomplete orders (e.g., missing chicken pieces, wrong sandwiches, items left out).</t>
  </si>
  <si>
    <t>Poor customer service, including rude or dismissive staff and unwelcoming attitudes.</t>
  </si>
  <si>
    <t>Long waits in drive-thru or for food preparation.</t>
  </si>
  <si>
    <t>Food quality concerns, such as raw burgers, cold fries, overly salty nuggets, or watered-down drinks.</t>
  </si>
  <si>
    <t>Employees refusing reasonable requests or being unaccommodating (e.g., refusal to replace drinks or provide missing items).</t>
  </si>
  <si>
    <t>Instances of unprofessional behavior, including rude comments and careless service (e.g., throwing food bags).</t>
  </si>
  <si>
    <t>Frustration with broken systems, such as non-functioning ice cream machines or drive-thru backups.</t>
  </si>
  <si>
    <t>Some customers appreciate certain items like frappes but criticize the overall experience.</t>
  </si>
  <si>
    <t>Drive-thru is often backed up during peak times; dining in may be quicker.</t>
  </si>
  <si>
    <t>Some customers acknowledge McDonald’s convenience but express dissatisfaction with consistency in service and food quality.</t>
  </si>
  <si>
    <t>A mix of satisfaction with friendly staff and disappointment with operational issues.</t>
  </si>
  <si>
    <t>Condiments missing from orders, causing dissatisfaction (e.g., not receiving condiments for a big breakfast with hot cakes).</t>
  </si>
  <si>
    <t>Frustration with dining room closures forcing customers to re-enter drive-thru lines for items like sauces.</t>
  </si>
  <si>
    <t>General perception that McDonald's struggles with inventory management, including condiments.</t>
  </si>
  <si>
    <t>Issues with condiments are part of broader concerns about order completeness and inventory reliability.</t>
  </si>
  <si>
    <t>Staff described as friendly, accommodating, smiling, and efficient (e.g., morning crew and evening manager).</t>
  </si>
  <si>
    <t>Instances of great service with hot food served in a timely manner.</t>
  </si>
  <si>
    <t>Employees going out of their way to satisfy customers.</t>
  </si>
  <si>
    <t>Some cashiers and staff consistently receive praise for kindness and professionalism.</t>
  </si>
  <si>
    <t>Drive-thru lines sometimes move quickly despite being long.</t>
  </si>
  <si>
    <t>Frequent complaints about rude, unprofessional, or untrained staff, including dismissive attitudes and mishandling of orders.</t>
  </si>
  <si>
    <t>Long waits in the drive-thru and delayed service, with minimal apologies or explanations.</t>
  </si>
  <si>
    <t>Inconsistent staff quality between morning and night crews.</t>
  </si>
  <si>
    <t>Repeated issues with orders being incorrect or incomplete.</t>
  </si>
  <si>
    <t>Specific reports of disrespectful behavior (e.g., mocking customers in another language or speaking negatively about customers on microphones).</t>
  </si>
  <si>
    <t>Instances of careless service, such as shoving drinks or food at customers.</t>
  </si>
  <si>
    <t>Concerns about staff playing around or lacking focus during work hours.</t>
  </si>
  <si>
    <t>Negative experiences attributed to poor management at specific locations.</t>
  </si>
  <si>
    <t>General sentiment that customer service at McDonald’s is often lacking, with some perceiving it as a systemic issue.</t>
  </si>
  <si>
    <t>Staff turnover and perpetual training contribute to inconsistencies in service.</t>
  </si>
  <si>
    <t>Cleanliness and upgrades in stores are appreciated but do not always translate to improved service experiences.</t>
  </si>
  <si>
    <t>Regular patrons report mixed reliability in service quality, depending on the time or crew.</t>
  </si>
  <si>
    <t>Calm and polite transactions are noted by some customers.</t>
  </si>
  <si>
    <t>Friendly, smiling staff contribute to a welcoming atmosphere.</t>
  </si>
  <si>
    <t>Food is often described as hot, fresh, and served with a smile during positive experiences.</t>
  </si>
  <si>
    <t>Some customers report no issues with orders when visiting during the day.</t>
  </si>
  <si>
    <t>Long waits for food, both in the drive-thru and inside, with minimal apologies or explanations for delays.</t>
  </si>
  <si>
    <t>Instances of incorrect or incomplete orders leading to frustration.</t>
  </si>
  <si>
    <t>Poor management of late-night operations, such as locking out delivery drivers or pausing order-taking unnecessarily.</t>
  </si>
  <si>
    <t>Environmental issues like crowded or backed-up drive-thrus during peak times.</t>
  </si>
  <si>
    <t>Perception of inconsistency in staff competency, leading to difficulties in ordering.</t>
  </si>
  <si>
    <t>Cold or improperly prepared food (e.g., microwaved nuggets, room temperature drinks).</t>
  </si>
  <si>
    <t>A lack of clear communication or adequate service during busy or late hours.</t>
  </si>
  <si>
    <t>Frustration with recurring mistakes at specific locations.</t>
  </si>
  <si>
    <t>Customers find it more efficient to dine inside rather than using the drive-thru during peak hours.</t>
  </si>
  <si>
    <t>Experiences can vary significantly depending on the time of day and the specific crew on shift.</t>
  </si>
  <si>
    <t>Instances of disrespectful behavior during service, such as an employee throwing a bag of food at a customer.</t>
  </si>
  <si>
    <t>Dissatisfaction with incorrect packaging, such as receiving improperly prepared items despite clear instructions.</t>
  </si>
  <si>
    <t>Customers expressing frustration when packaging does not match the expectations for size or customization (e.g., large orders not being properly portioned).</t>
  </si>
  <si>
    <t>Complaints about not honoring advertised prices, leading to frustration over perceived unfairness.</t>
  </si>
  <si>
    <t>Concerns about food quality not aligning with the value expected, such as overly salty or stale items.</t>
  </si>
  <si>
    <t>Some customers feel the value is met when orders are correct, and service is efficient and friendly.</t>
  </si>
  <si>
    <t>Base</t>
  </si>
  <si>
    <t>row</t>
  </si>
  <si>
    <t>Selected Year</t>
  </si>
  <si>
    <t>Selected Month</t>
  </si>
  <si>
    <t>January</t>
  </si>
  <si>
    <t>February</t>
  </si>
  <si>
    <t>March</t>
  </si>
  <si>
    <t>April</t>
  </si>
  <si>
    <t>May</t>
  </si>
  <si>
    <t>June</t>
  </si>
  <si>
    <t>July</t>
  </si>
  <si>
    <t>August</t>
  </si>
  <si>
    <t>September</t>
  </si>
  <si>
    <t>November</t>
  </si>
  <si>
    <t>October</t>
  </si>
  <si>
    <t>December</t>
  </si>
  <si>
    <t>All</t>
  </si>
  <si>
    <t xml:space="preserve"> ==&gt; If we have no rating data, the rating metric will not shown in chart.</t>
  </si>
  <si>
    <t>metric</t>
  </si>
  <si>
    <t>Metric</t>
  </si>
  <si>
    <t>reviewer_id</t>
  </si>
  <si>
    <t>review</t>
  </si>
  <si>
    <t>2019-12-06</t>
  </si>
  <si>
    <t>Decent McDonald's location.  The team here has always been friendly.  Drive thru can get pretty backed up during normal meal periods, so often it is better to go inside.  Make sure you go close to regular meal periods for fresher food vs the ones under the heat lamp for a while.    Store is always clean.</t>
  </si>
  <si>
    <t>Attempted to go through the drive thru at 430 am. It said it was 24 hour, however no one seemed to be taking orders and I drove around twice just in case and tried again but still no answer. I saw one employee in the kitchen but couldn't get his attention.   Very bad business. If closed or delayed in opening then at least a sign that indicates that would have been nice.</t>
  </si>
  <si>
    <t>waited in the drive through for over half an hour, all i got for my trouble was a "sorry for the wait" not even an explanation. When I got to the second window there were at least a dozen sodas just sitting on the counter. It's not the first time I've had bad service. I once pulled up and they just said we're not serving right now even though it was smack dab in the middle of the day hours.</t>
  </si>
  <si>
    <t>2020-12-06</t>
  </si>
  <si>
    <t>Meh.. just meh. When I finally get the correct order, it is generally tasty. I'm a picky eater, and have found ways to navigate the menu to get items I like. Worked in the service industry for years as a server, bartender, and trainer. Taking and fulfilling orders is NOT hard, tedious at times though. I only go here when I see they are not busy, in hope that my order is correct when I go to leave. In the 10 times that I have been here in the past past year, I have only had 1 order that was perfectly correct. Just ONE, not an exaggeration. That one order was just 2 large fries and nothing else. Though I will mention that when I got home and pulled them out of the bag, they were hardly what you'd call filled, (nor did I enjoy any on the 3 minute drive home) so little so that I even sent a picture and post to McDonald's on Facebook, at least the few were hot. The evening staff is very pleasant, but the morning staff leaves a lot to be desired, as well as thinking that they can talk negatively about people in Spanish out in the open which, being a light skinned Puerto Rican, I understand perfectly. I have submitted several complaints and NEVER received a call or email back. I just don't go here anymore to avoid the stress of paying money for something that is most likely wrong.</t>
  </si>
  <si>
    <t>If I could give negative stars I would. This location is the absolute worst ever.  Every single time I go they f up my order! Then give attitude when they need to correct their mistakes.  I Try to give the benefit of the doubt everyone has off/bad days so I return thinking this time will be different, but it never is. They always suck. The staff is horrible. Corporate needs to send all their staff over to a week of training at chic-fil-A college to learn about work ethic, time management ,teamwork and basic manors.
I am baffled how chic-fil-a can have 30 cars in drive thru and get my order right the first time and under 5 mins. But at McDonald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there could be 3 cars and it still takes 30 mins and 3+ tries to get my order right! makes no logical sense.
Moral of rant save your time and money and drive around the corner to chic-fil-a they got your</t>
  </si>
  <si>
    <t>This place is okay. It has these kiosks where you order, take a number, and they bring the food to your table. I ordered a frozen lemonade, paid for it, then sat down. I was there for a bit before someone came and told me they were out. I got a regular drink instead but it was too much trouble to get a refund for the difference. I'm not sure I like this new way.</t>
  </si>
  <si>
    <t>2021-12-06</t>
  </si>
  <si>
    <t>I would have given 5 stars, the evening manager is the nicest person I have seen and is definitely in charge of training her crew with constantly new help, in spite of this, everytime I have to return an order she goes back to the kitchen and patiently disassembles the sandwich and explains the proper way to make the sandwich in a spirit of education and with a cherry disposition. You can tell the children she works with respect her and look up to her, and yes, they might get things confused occasionally but I will continue to go there. 4 out of 5 stars</t>
  </si>
  <si>
    <t>This McDonalds CONSTANTLY gets orders wrong. We have ordered at the window and over uber and EVERY SINGLE TIME we dont get a complete order. Today we went back to get our fry we had 3 chicken sandwiches and 2 fry not complicated at all. The manager gave us a new one but the girl at the oick up window shoved the bag in ny hands and when I tha ked her she made a rude face and turned away.</t>
  </si>
  <si>
    <t>They get an extra Star because their staff 8 of 10 have been polite. Drive through has issues. They constantly get order wrong. Ask you to pull forward to fix and leave you hanging. I have had to go in twice to see why I am still sitting after five minutes. They are new. I understand training new people. But when you place an order and they repeat it back correctly and it comes out wrong or you have to repeat 3 times to make sure they get it right. Someone inside needs to make sure they are reading the whole ticket. Not just a quarter pounder. Especially with the multi menu choice of adding bacon or lettuce and tomatoes. Their tea as of late has tasted like dish soap and their fountain drinks have a funky taste to them. Numerous times their fries have been under cooked.</t>
  </si>
  <si>
    <t>Worst experience! All I asked for was a regular size coffee.I get to the window and was handed a small , I asked the woman if that was a regular to which she rudely said yes I questioned her again two more times then I asked her how many sizes of coffee they had she said small medium and large I asked her which one was the one I was holding and she said it's a small that's what we charged you for she said, and I told her I asked for a regular which would be a medium but I just drove off. Also asked for 3 splendas and 4 creamers on the side and received 3 regular sugars and 2 creamers. To top it off, coffee was full of coffee grounds to the point I was spitting them out. And as a little plus there was a piece of plastic! Never again!</t>
  </si>
  <si>
    <t>My burger was completely raw in the middle and when I took the burger back in to get it remade the lady behind the counter treated me like I was some stuck up brat for not wanting to eat a raw burger.
If I had the ability to give them a zero star rating I would. I WILL NEVER EAT HERE AGAIN!!!</t>
  </si>
  <si>
    <t>First and last time I go to this location. Look at my receipt and what I got. Tha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a plain sausage biscuit plus a double quarter pounder. I didnÃÂ¯ÃÂ¿ÃÂ½ÃÂ¯ÃÂ¿ÃÂ½ÃÂ¯ÃÂ¿ÃÂ½ÃÂ¯ÃÂ¿ÃÂ½ÃÂ¯ÃÂ¿ÃÂ½ÃÂ¯ÃÂ¿ÃÂ½ÃÂ¯ÃÂ¿ÃÂ½ÃÂ¯ÃÂ¿ÃÂ½ÃÂ¯ÃÂ¿ÃÂ½ÃÂ¯ÃÂ¿ÃÂ½ÃÂ¯ÃÂ¿ÃÂ½ÃÂ¯ÃÂ¿ÃÂ½ÃÂ¯ÃÂ¿ÃÂ½ÃÂ¯ÃÂ¿ÃÂ½ÃÂ¯ÃÂ¿ÃÂ½ÃÂ¯ÃÂ¿ÃÂ½ÃÂ¯ÃÂ¿ÃÂ½</t>
  </si>
  <si>
    <t>When I order during the day, I have zero issues. They are listed as a 24 hour location, so they show up on Uber Eats late at night. Anytime I order after midnight, they will accept my order through UE and then sit around for an hour before cancelling it. I don't understand why you list yourselves as a 24 hour location if you cancel any orders after midnight. Other than that, this place has always given great service.</t>
  </si>
  <si>
    <t>2022-12-06</t>
  </si>
  <si>
    <t>Awful experience. Drive thru attendants are rude, untrained, and unprofessional. When asked for a manager the attendants lie and say that there isn't one on duty, FYI impossible for every shift not to have a manager. One specific attendant screamed and cursed at me, to which led me to contact corporate.</t>
  </si>
  <si>
    <t>The staff is very kind and the food is usually prepared in a timely manner, for this reason it'sone of my preferred location's. However the drive thru line can sometimes be an inconvenience as it can get very long and at times even block entrances.</t>
  </si>
  <si>
    <t>(Sarcasm) this was exactly what I ordered! A 20 minute wait in the drive through for a room temperature caramel mocha that was less than 2/3 full!</t>
  </si>
  <si>
    <t>I placed an order... the young lady at the drive thru kept having issues getting the order correctly... I paid for my order... went to the second window.. was given a huge bag that almost broke through with stuff... I pulled up just a little bit to check my order:  noticed I was missing an item, fries, so I pulled around to let the lady at the first window know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m missing something... she just dismissed me to the 2nd window... and the 2 ladies at the second window were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the best either.  When I stated I drove back around because I was missing my fries.. I did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realize my receipt was in the bag to confirm my order.. found it and gave it to one of the ladies... the second lady,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m guessing to be heard due to my inconvenience of my order not being correct, for her to take ownership for what possibly could of went wrong and show some compassion instead of being kind of prude ... after I received the fries the manager dismissed me with a condescending ÃÂ¯ÃÂ¿ÃÂ½ÃÂ¯ÃÂ¿ÃÂ½ÃÂ¯ÃÂ¿ÃÂ½ÃÂ¯ÃÂ¿ÃÂ½ÃÂ¯ÃÂ¿ÃÂ½ÃÂ¯ÃÂ¿ÃÂ½ÃÂ¯ÃÂ¿ÃÂ½ÃÂ¯ÃÂ¿ÃÂ½</t>
  </si>
  <si>
    <t>They run out of fry containers and constantly forget sauces. The dining room is still closed for some reason so have fun getting back in line for a sauce. Sometimes the fries aren't great which is a huge part of McDonald's. Come on guys...</t>
  </si>
  <si>
    <t>I ordered 4 happy meals with plain cheeseburgers. All the burgers were wrong. Do you know what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like to have four grandkids that canÃÂ¯ÃÂ¿</t>
  </si>
  <si>
    <t>Buyer beware. Yeah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fast food and cheap. However, if you love to be consistently let down, this particular location is the place to frequent. This location loves to give you incorrect items and 100% of the time your order will be missing something.
Please be sure to check your order prior to leaving the premises. Do note that it takes forever to get them to correct their mistakes, so do take into consideration that the rest of your food will be cold and soggy by the time</t>
  </si>
  <si>
    <t>When ordering food the employees conveniently forgot to turn off their microphones and were talking mess about all the food we had ordered, this is very unprofessional and honestly uncalled for. When I asked for a receipt they said it was in the bad and it was convenient not in there.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ve trying to get ahold of management to speak ab</t>
  </si>
  <si>
    <t>When you specifically say, 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plain AND dry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 and then just to make sure they understood (cuz le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face it,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MacDonalds) you add - 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o nothing but the meat and buns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 Then you get home, open the bag, and immediately see the cheese through the hamburger wrapper.... I mean for cryin</t>
  </si>
  <si>
    <t>Alright I know it was 5:25 in the morning when we came here and the worker was probably tired as hell. I will give him that for sure, but it was just odd pulling up to the machine and total silence. we had to say "hello?" before he came on and asked what we wanted. Was seemingly rude about it and not amazingly friendly. You do not have to sound peppy and full of life at 5am, but at least be nice..</t>
  </si>
  <si>
    <t>2023-12-06</t>
  </si>
  <si>
    <t>Mcdonalds is great but they really need to hire people who understand both english and spanish and not just spanish speakers trying to take english orders. The people are really nice but be smarter about who you put in the drive thru and lobby to take orders.</t>
  </si>
  <si>
    <t>Representative was very rude and disrespectful,  refused fulfilling my order and simply hung up on me on the drive through window... never was I so disappointed at that location before. Manager pretended like nothing even happened.</t>
  </si>
  <si>
    <t>The line wS extremely big and was moving very slowly, plus they were out of apple pies and strawberry cream pies, but they gave me substitute cinnabun, the staff was very apologetic for being slow &amp; they were out of pies, but it was middle of the night and they were extremely under-staffed.</t>
  </si>
  <si>
    <t xml:space="preserve">This location is a horrible store to work for. The General Manger Omar Delgado  does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know how to run a store efficiently. The Supervisor, Eduardo does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care how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ran either.  As someone who used to work here at the Manger </t>
  </si>
  <si>
    <t>Slow always have wait for my food and have to go back in to get it fixed.  No one ever iles or has a none fake smile. No welcome to McDonald's or have a great day especially in drive through . And if you do say something's wrong you get a major attitude especially from the shift manager guy tall black guy .  ( Sorry don't know his name )</t>
  </si>
  <si>
    <t>This is the WORST McDonald's EVER, I don't come here often because when I do my order is wrong EVERY TIME.  Today 2/25/22 1130am 1 the drive thru person could barely hear me and I was almost yelling 2 I get to the next window after paying and I'm asked what did you order?? I tell them at the end of me repeating my order I now have your entire staff looking CONFUSED AS HELL like I just dropped outta the sky now I'm being asked did I pay? Are you sure you ordered at the speaker? Now all of ya'll wear head sets except for the cooks the worst leadership I've ever seen</t>
  </si>
  <si>
    <t>I ordered a Large fry buy after arriving to my destination I saw they did not fill the carton up.  They gave me a small portion for what I paid for.  This is not right and management needs to correct this.  Stealing from customers is plain wrong.  When ordering a large, they expect to get what should come in a large.  I noticed after my bad experience that your reviews are low.  In order order to create a good business, giving people an exceptional experience should be your goal not the opposite.</t>
  </si>
  <si>
    <t>The cashier's are very nice. Its very clean on the inside, and they get your food done fast</t>
  </si>
  <si>
    <t>Horrible service worker with a stank attitude for no reason working at the window mute with an attitude mad because she is miserable at work . They mess up the order and then do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answer the phone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ridiculous. Found a long hair in my daughters happy meal fries and then the extra fry was missing from her meal and t</t>
  </si>
  <si>
    <t>My nuggets were way to salty and crunchy which means to had been sitting there a while, cashier cut me off in the middle of my order but was nice and polite when I addressed it and fries where kinda cold but another then good place to get food at an affordable price</t>
  </si>
  <si>
    <t>Night time drive through team seem really unprofessional. I ordered a meal with an extra fry, but when I got to the food window, was only given the fry with the meal. I mentioned the extra fry and was told I only paid for 1 fry. I offered to pay the difference for the extra fry, but was told I needed to drive back around and order again. Seriously? That's the response? Will not be returning.</t>
  </si>
  <si>
    <t>Today, i was disappointed in that restaurant #11853 did not get me my FULL order, meaning I did not receive my condiments for my big breakfast with hot cakes. No butter, no syrup, and no utensils. Luckily this was a hiccup and not a regular thing. Oh, and the egg was half the size of the sausage.</t>
  </si>
  <si>
    <t>Just spent 10 minutes waiting at this McDonald's . According to Google they're open 24/7. Finally we pull up to the window to see if anyone was there, sure enough one employee seated in the lobby and another at the window. She told me they were closed. Whoever these two are they need to be replaced. Get it together McDonald's. You're a corporate power house and you have a reputation to keep. One of the most unprofessional experiences I've ever had with fast food. 0/10 would not recomend this location.</t>
  </si>
  <si>
    <t>Me and my girlfriend came tonight to pick up our food after 11pm for a mobile order, they need a better system if you are walking on foot. The food tasted great, loved the McDonald's deal ordering from the app.</t>
  </si>
  <si>
    <t>Came in and ordered a Large coffee w/no ice. They handed me a cup that was less than half way full. I asked the employee, Flor, if they could give me a Large coffee w/no ice and she said no. I was willing to pay more to get a full cup of coffee. I always get a large sweet tea w/no ice and itÃÂ¯ÃÂ¿ÃÂ½ÃÂ¯ÃÂ¿ÃÂ½ÃÂ¯ÃÂ¿ÃÂ½ÃÂ¯ÃÂ¿ÃÂ½ÃÂ¯ÃÂ¿ÃÂ½ÃÂ¯ÃÂ¿ÃÂ½ÃÂ¯ÃÂ¿ÃÂ½</t>
  </si>
  <si>
    <t>If I paid for a large-sized meal, and I asked for both a large fry and a large drink, please don't argue with me that the ticket says medium drink. Thank you so much from a single parent who just wanted to spend a little bit of money on unhealthy food for wasting my hard-earned money.</t>
  </si>
  <si>
    <t>They got our order correct and didn't cut me off before I had finished ordering our food at the speaker. I could actually understand our order taker. I don't know if it really gets any better than that at a fast food place anymore.</t>
  </si>
  <si>
    <t>OPEN 24HRS all the darn time!!  If there are 24 hours in every day and then 7 days in a week then that means this place is open eleventeen million hours a year.  I dont even know how they find people to work here I mean how do they shower or brush their teeth or change clothes if they are always there.... I think I may have an idea: they are robots.  Or clones, like this example that's Dolly the sheep she's pretty hot NGL.</t>
  </si>
  <si>
    <t>Rude customer service, unprofessional attitude, overcooked food, no complimentary items for screwing up our orders. I don't understand how you can keep your job when there is so many negative reviews. I vow to never eat here again. I would rather eat a cold can of baked beans...</t>
  </si>
  <si>
    <t>Never gotten my order wrong, employees seem to change a lot but they're consistently quick and nice. Also the prices here are lower than other locations, I don't know why but its a total welcome change haha.</t>
  </si>
  <si>
    <t>So Uber eats was having connectivity issues and pushed an order through to this location that was supposed to be cancelled. I know this isnt McDonald's fault, but when I called McDonalds to try and address the issue, they answered and then ignored me and must have left their phone off the hook because any attempt to call them after this got me only dial tone. I know places are short staffed, but you cant just ignore people.</t>
  </si>
  <si>
    <t>Customer  service  is no good the staff  play games  as if I'm there to pay my money  to see them horsing around. And the the management  are a jock don't answer  the phone . to night is September 29 2021 at 10:30pm my next  visit to Austin will not be to a McDonald's...</t>
  </si>
  <si>
    <t>Service is slow, but I get all of my items with no errors and it's a bit smaller than most locations. Overall, it's a good place to grab a quick bite near Lake Creek.</t>
  </si>
  <si>
    <t>Hashbrowns were fire today.
Frappes always on point and the machine is always working.
Always get me to work on time with fast workers</t>
  </si>
  <si>
    <t>They did not honor there advertised price. This is extra pickles.</t>
  </si>
  <si>
    <t>McDonald's is usually pretty bad about inventory shorts especially.
The BBQ sauce, it's just a conspiracy but if you ever been a lover of Mcys Nuggets then you know they tend to "Forget" the BBQ sauce. Any other sauce and it's in there. But overall I dont see my self going back anytime soon.</t>
  </si>
  <si>
    <t>I go here all the time. Great staff.. NVR get my food wrong it's just always a line wrapped around lol that's why they ain't 5 stars. Most def customer service is better then the food but hey I just go for my kids because they love it so why not! Good customer service guys! Makes all the difference</t>
  </si>
  <si>
    <t>Normally this location does pretty good, but last night was absolutely ridiculous. I sat in the drive thru for almost an hour waiting to get my order taken, the line was wrapped almost TWICE around the building, and finally I gave up and tried driving up to the window to give them my order since i was next in line. When i got to the window, they told me they couldn't take it and I'd have to go back around. I told them I'd like to put in my order here since I've been waiting all this time, and they proceeded to still refuse and that it's my fault for waiting in the second lane that they claimed was closed and had a sign out. The second lane was open, and the "sign" they were talking about was a wet floor sign they had placed right next to the drive-thru menu. I told them the lane looked open from our side and they still proceeded to argue with me, and then slammed the drive thru window shut. I've never received such deplorable customer service in my life, and if any managers are reading this, I highly suggest firing the two workers from last night.</t>
  </si>
  <si>
    <t>I went to pick up food from the restaurant at late night through drive through. I was told to wait near the door and I will be getting the order but even after waiting 15 minutes no one came with the food. Orders are already assigned and even after coming through drive through it takes more than half an hour to get it which is not good. Lots of people behind me got the food but no one cared about the driver who is already waiting from long time. Thank you</t>
  </si>
  <si>
    <t>McDonalds is NOT a fast food company anymore. They're just a food company now. Always a line wrapped around the building that never moves. When are robots going to replace the kitchen staff who hate their jobs?</t>
  </si>
  <si>
    <t>Manager waited on me. He went out of his way to make me a satisfied customer.  Great customer service!</t>
  </si>
  <si>
    <t>2024-01-06</t>
  </si>
  <si>
    <t>If you did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take 15 minutes to take a few orders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d be able to order off your normal menu instead of the disgusting br</t>
  </si>
  <si>
    <t>2024-02-06</t>
  </si>
  <si>
    <t>Can't believe experience with order taker. Went from drive thru and employee directly asks what do you want. He keeps rushing while taking order with no other cars placing order. We wanted to add one more item and asked for a minute. He keeps asking what else. When I said we are ready - no response. There were no other car placing order that time either. I told again we are ready. responded after a pause. Again what do you want... excuse me.. who talks to customers like this ??
I asked for his name to put a review and he flat out denied. I asked for receipt before handing my credit card. He swipes it and returns back my card. I m waiting for a receipt with my family in the car. He starts inputing another order on his tablet. Waited for sometime and then I waive my hand several times. He opens window and said you can get receipt from next window. Excuse me ??
Went to next window - picked up food, asked for Manager and got his name JAMAR. My receipt states 08/06/2022 7:20pm Order 05
I didn't want to complain but this was intolerable.</t>
  </si>
  <si>
    <t>I went to this location tonight to see if they could give me the Oreo Mcflurry that a different McDonald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had forgotten earlier they completely refused. Unbelievable..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ice creamÃÂ¯ÃÂ¿ÃÂ½ÃÂ¯ÃÂ¿ÃÂ½ÃÂ¯ÃÂ¿ÃÂ½ÃÂ¯ÃÂ¿ÃÂ½ÃÂ¯ÃÂ¿ÃÂ½ÃÂ¯ÃÂ¿ÃÂ½ÃÂ¯ÃÂ¿ÃÂ½ÃÂ¯ÃÂ¿ÃÂ½ÃÂ¯ÃÂ¿ÃÂ½ÃÂ¯ÃÂ¿ÃÂ½ÃÂ¯ÃÂ¿ÃÂ½ÃÂ¯ÃÂ¿ÃÂ½ÃÂ¯ÃÂ¿ÃÂ½ÃÂ¯</t>
  </si>
  <si>
    <t>The manager IS RUDE at 13749 183 research Blvd.in north Austin TX. HAD TO GO BACK INTO THE  DINER  3 TIMES AND THE 3RD TIME THE MANAGER DIDNT EVEN ACKOWLEDGE WE WERE EVEN THERE.. DISCRIPTION OF SAID MANAGER SPANISH ABOUT 5 FT TALL AND HAD LONG BLONDOISH HAIR PULLED BACK INTO A PONY TAIL. READ PREVIOUS REVIEWS AND THRY WERE NOT GOOD
NEED TO CHECK OUT WHAT IS GOING ON .</t>
  </si>
  <si>
    <t>We hit it off pretty good in the beginning everything was great but that did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last long. I mean the service is fast but with attitude an</t>
  </si>
  <si>
    <t>2024-03-06</t>
  </si>
  <si>
    <t>This location is wack.
They will literally stop taking orders and make people sit in the parking lot for like 12 minutes until 3:00 a.m. so that they don't get to order dinner food anymore.
We have gone multiple times right after leaving the pinballz arcade just to sit in the parking lot in the Drive-Thru line waiting while they do nothing but wait for the order menu to change over.
Look McDonald's if I wanted a breakfast deluxe I wouldn't have shown up at 2:30 in the morning thank you.</t>
  </si>
  <si>
    <t>Went through the drive through ordered a large fry and two chicken deluxe sandwiches
Got to the pay window and the read it back as two spicey chicken sandwiches
I restated that I wanted the deluxe crispy chicken sandwich
They said they would fix it after having to pay a second time for the lettuce and tomato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 then when I got the order it was still a spicey chicken sandwich INSIDE a deluxe crispy chicken b</t>
  </si>
  <si>
    <t>2024-04-06</t>
  </si>
  <si>
    <t>This is consistently the worst meal you will pay for. Microwaved nuggets, cold fries and a 30 minute wait. What more can you ask for? Dont go here ever! Your better off going hungry or giving the meal you payed for to the homeless by the donation box behind the drive thru.</t>
  </si>
  <si>
    <t>2024-05-06</t>
  </si>
  <si>
    <t>Good quick drive through service.  Was a long line but went very quickly.</t>
  </si>
  <si>
    <t>I am not happy at all today I went and bought 4 Strawberry Banana smoothies and and 2 hash browns and my smoothies tasted like straight ice and water smh. And I am very disappointed in there service my smoothie should never taste like that never especially the fact I bought it for not only me but my kids. I need someone to contact me from corporate or something. I am not happy at all waste of moneyÃÂ¯ÃÂ¿ÃÂ½</t>
  </si>
  <si>
    <t>The staff seems to always be different which makes ordering sometimes a little difficult because they are in a state of perpetual learning which can also lead to waiting a bit longer but the lobby is always clean as well as the bathrooms</t>
  </si>
  <si>
    <t>Been frequenting this location for a few years.Morning,mid-day and night,the food is always hot,fresh and served with a smile.</t>
  </si>
  <si>
    <t>Never would come back here again my mother was asking for a coke and the lady became rude and said to her coworker in Spanish omg this fat women it hurt me that she said that and we know what she said so teach your employees how to speck properly in front of people</t>
  </si>
  <si>
    <t>2024-06-06</t>
  </si>
  <si>
    <t>McDonald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is proud to own the most broken ice cream machines on the planet. When I asked at the drive through if they had ice cream the lady replied 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naÃÂ¯ÃÂ¿ÃÂ½ÃÂ¯ÃÂ¿ÃÂ½ÃÂ¯ÃÂ¿ÃÂ½ÃÂ¯ÃÂ¿ÃÂ½ÃÂ¯ÃÂ¿ÃÂ½ÃÂ¯ÃÂ¿ÃÂ½ÃÂ¯ÃÂ¿ÃÂ½ÃÂ¯ÃÂ¿ÃÂ½ÃÂ¯ÃÂ¿ÃÂ½ÃÂ¯ÃÂ¿ÃÂ½ÃÂ¯ÃÂ¿ÃÂ½ÃÂ¯ÃÂ¿ÃÂ½ÃÂ¯ÃÂ¿ÃÂ½ÃÂ¯ÃÂ¿ÃÂ½ÃÂ¯ÃÂ¿ÃÂ½ÃÂ¯ÃÂ¿ÃÂ½ÃÂ¯ÃÂ¿ÃÂ½ÃÂ¯</t>
  </si>
  <si>
    <t>We stopped by for a quick breakfast.  It was not crowded inside, but there was a pretty long drive thru.
Our order was supposed to have 3 food items and 2 drinks. They missed a food item. The lady ignored me when I told her.
My husband went to get it, she finished her task then handed it to him without a word or smile or anything.</t>
  </si>
  <si>
    <t>The morning crew seems fast and efficient. Night crew is a whole different experience, lines down the street, hour long waits. If this was a one time occurrence it wouldn't be so bad but this is a nightly problem. Beyond this the staff is so highly rude you leave wanting to crash your car through the building. Don't forget they will mistake your order almost every single time as well and serve it to you cold.</t>
  </si>
  <si>
    <t>Allways has the best Fries and Ice cream in the world!</t>
  </si>
  <si>
    <t>2024-07-06</t>
  </si>
  <si>
    <t>Ordered food burger wrong and left out part of the order also. One of the drink cup lid not fattened. Poor service girl handing order at window on January 7, 2023 at 1pm.</t>
  </si>
  <si>
    <t>Yup.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McDona</t>
  </si>
  <si>
    <t>Will not answer my call. Messed up my order 4times in and hour!</t>
  </si>
  <si>
    <t>2024-08-06</t>
  </si>
  <si>
    <t>The drinks were watered down and the employee was downright rude when asked to replace the drinks.!!</t>
  </si>
  <si>
    <t>Did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take card. But didnÃÂ¯ÃÂ¿ÃÂ½ÃÂ¯ÃÂ¿ÃÂ½ÃÂ¯ÃÂ¿ÃÂ½ÃÂ¯ÃÂ¿ÃÂ½ÃÂ¯ÃÂ¿ÃÂ½ÃÂ¯ÃÂ¿ÃÂ½ÃÂ¯ÃÂ¿ÃÂ½ÃÂ¯ÃÂ¿ÃÂ½ÃÂ¯ÃÂ¿ÃÂ½ÃÂ¯ÃÂ¿</t>
  </si>
  <si>
    <t>It was late, order was wrong, person taking order needs to slow down,</t>
  </si>
  <si>
    <t>The staff are very friendly and they do their job perfectly</t>
  </si>
  <si>
    <t>2024-09-06</t>
  </si>
  <si>
    <t>Went thru drive thru. Ordered. Getting home noticed my 10 piece nuggets where missing. Tried calling the restaurant and nothing. The lady gave me a hard time about extra sauce. Very unhappy .....</t>
  </si>
  <si>
    <t>If I  could give this location a zero on customer service, I  would. Pulled into drive through at 8:07 and placed a simple order. I order a regular hamburg and cookies. Once I paid and pulled up to the window to pick up, I  was told to pull up to the #1 space. I sat there and sat there and.........25 minutes later, no order. I  went in and no one was at the counter. I yelled "hello" three times. A young lady came up asking who was handling the front counter. A young girl appeared. To make this complaint shorter, I  showed my receipt and another 5 minutes later I got my order. There was another order with a drink sitting on the counter that never got to the person who ordered it. After getting home, I  had no regular hamburg but had cookies. Everyone, don't even bother going to this location again. It's a horrible experience every time as you can see by other reviews.</t>
  </si>
  <si>
    <t>I'm not really a huge fan of fast food, but I have 2 teenage daughter's who enjoy McDs. The staff here is always friendly and ALWAYS get their orders correct. By far one of the best McDs I have ever been to. I always enjoy and appreciate quality service from quality people... and you'll definitely find it here. At least from the evening crew. Haven't been here during the day. My girls joke that I go here so often to get them food, that the staff is going to end up knowing me and having their order ready to go. Lmao Great people and excellent service. ÃÂ¯ÃÂ¿ÃÂ½ÃÂ¯</t>
  </si>
  <si>
    <t>Yet another McDonald's with horrible service and lazy employees. I mean c'mon do they intentionally hire unqualified people???</t>
  </si>
  <si>
    <t>Awesome service! Food hot!  Best ever</t>
  </si>
  <si>
    <t>Why does it look like someone spit on my food?
I had a normal transaction,  everyone was chill and polite, but now i dont want to eat this. Im trying not to think about what this milky white/clear substance is all over my food, i d*** sure am not coming back.</t>
  </si>
  <si>
    <t>Worst McDonald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t>
  </si>
  <si>
    <t>2024-10-06</t>
  </si>
  <si>
    <t>This was a dine in experience. The tables were all dirty &amp; we did not get our food after waiting 35 minutes. Chicken sandwich was burnt.</t>
  </si>
  <si>
    <t>I repeat my order 3 times in the drive thru, and she still manage to mess it up , it was suppose to be a large meal double filet of fish with large fries , no cheese . It was all wrong , they either need to pay close attention to the order being made , understand English or they need not to work at a drive thru</t>
  </si>
  <si>
    <t>The boy who attended me made me wait and when he saw that the drink was wrong he threw the bag of food at me with a grimace. So disappointed!</t>
  </si>
  <si>
    <t>2024-11-06</t>
  </si>
  <si>
    <t>My mc. Crispy chicken sandwich was 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 customer service was quick and p</t>
  </si>
  <si>
    <t>Just needed caffeine. The staff at the drive thru just shoved the drink in my hands. Not very professional.</t>
  </si>
  <si>
    <t>Does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t>
  </si>
  <si>
    <t>With all the new upgrades everything looks great and clean great staff</t>
  </si>
  <si>
    <t>2024-12-01</t>
  </si>
  <si>
    <t>It'd McDonalds. It is what it is as far as the food and atmosphere go. The staff here does make a difference. They are all friendly, accommodating and always smiling. Makes for a more pleasant experience than many other fast food places.</t>
  </si>
  <si>
    <t>Made a mobile order got to the speaker and checked it in.
Line was not moving so I had to leave otherwise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d be late for work.
Never got the refund in the app.
I called them and they said I could only get my money back in person because it was stuck in the system.
Went there in person the next day  and the manager told me she wasnÃÂ¯ÃÂ¿</t>
  </si>
  <si>
    <t>2024-12-03</t>
  </si>
  <si>
    <t>I work for door dash and they locked us all out to wait in a long line for no reason at 10. I tried to beg them to open it because I'm door dash and they refused.  Covid is over get a new job</t>
  </si>
  <si>
    <t>employees</t>
  </si>
  <si>
    <t>prices</t>
  </si>
  <si>
    <t>fries</t>
  </si>
  <si>
    <t>orders</t>
  </si>
  <si>
    <t>workers</t>
  </si>
  <si>
    <t>pickles</t>
  </si>
  <si>
    <t>sugars</t>
  </si>
  <si>
    <t>attendants</t>
  </si>
  <si>
    <t>creamers</t>
  </si>
  <si>
    <t>chicken mcnuggets</t>
  </si>
  <si>
    <t>bathrooms</t>
  </si>
  <si>
    <t>chicken sandwiches</t>
  </si>
  <si>
    <t>cheeseburgers</t>
  </si>
  <si>
    <t>burgers</t>
  </si>
  <si>
    <t>places</t>
  </si>
  <si>
    <t>entrances</t>
  </si>
  <si>
    <t>meal periods</t>
  </si>
  <si>
    <t>breakfast with hot cakes</t>
  </si>
  <si>
    <t>cookies</t>
  </si>
  <si>
    <t>apples strawberries</t>
  </si>
  <si>
    <t>drinks</t>
  </si>
  <si>
    <t>strawberry banana smoothies</t>
  </si>
  <si>
    <t>condiments</t>
  </si>
  <si>
    <t>drink cups</t>
  </si>
  <si>
    <t>fry containers</t>
  </si>
  <si>
    <t>tables</t>
  </si>
  <si>
    <t>messed</t>
  </si>
  <si>
    <t>robots</t>
  </si>
  <si>
    <t>cooks</t>
  </si>
  <si>
    <t>hash brownsies</t>
  </si>
  <si>
    <t>baked beans</t>
  </si>
  <si>
    <t>nuggets</t>
  </si>
  <si>
    <t>food items</t>
  </si>
  <si>
    <t>coffee grounds</t>
  </si>
  <si>
    <t>meals</t>
  </si>
  <si>
    <t>I do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t>
  </si>
  <si>
    <t>I placed an order... the young lady at the drive thru kept having issues getting the order correctly... I paid for my order... went to the second window.. was given a huge bag that almost broke through with stuff... I pulled up just a little bit to check my order:  noticed I was missing an item, fries, so I pulled around to let the lady at the first window know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m missing something... she just dismissed me to the 2nd window... and the 2 ladies at the second window were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the best either.  When I stated I drove back around because I was missing my fries.. I did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realize my receipt was in the bag to confirm my order.. found it and gave it to one of the ladies... the second lady, IÃÂ¯ÃÂ¿ÃÂ½ÃÂ¯ÃÂ¿ÃÂ½ÃÂ¯ÃÂ¿ÃÂ½ÃÂ¯ÃÂ¿ÃÂ½ÃÂ¯ÃÂ¿ÃÂ½ÃÂ¯ÃÂ¿ÃÂ½ÃÂ¯ÃÂ¿ÃÂ½ÃÂ¯ÃÂ¿ÃÂ½ÃÂ¯ÃÂ¿ÃÂ½ÃÂ¯ÃÂ¿ÃÂ½ÃÂ¯ÃÂ¿ÃÂ½ÃÂ¯ÃÂ¿ÃÂ½ÃÂ¯ÃÂ¿ÃÂ½ÃÂ¯ÃÂ¿ÃÂ½ÃÂ¯ÃÂ¿ÃÂ½ÃÂ¯ÃÂ¿ÃÂ½ÃÂ¯ÃÂ¿ÃÂ½ÃÂ¯ÃÂ¿ÃÂ½ÃÂ¯ÃÂ¿ÃÂ½ÃÂ¯ÃÂ¿Ã</t>
  </si>
  <si>
    <t>When you specifically say, 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plain AND dry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 and then just to make sure they understood (cuz le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face it,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MacDonalds) you add - 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o nothing but the meat and bunsÃÂ¯ÃÂ¿ÃÂ½ÃÂ¯ÃÂ¿ÃÂ½ÃÂ¯ÃÂ¿ÃÂ½ÃÂ¯ÃÂ¿ÃÂ½ÃÂ¯ÃÂ¿ÃÂ½ÃÂ¯ÃÂ¿ÃÂ½ÃÂ¯ÃÂ¿ÃÂ½ÃÂ¯ÃÂ¿ÃÂ½ÃÂ¯ÃÂ¿ÃÂ½ÃÂ¯ÃÂ¿ÃÂ½ÃÂ¯ÃÂ¿ÃÂ½ÃÂ¯ÃÂ¿ÃÂ½ÃÂ¯ÃÂ¿ÃÂ½ÃÂ¯ÃÂ¿ÃÂ½ÃÂ¯ÃÂ¿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</si>
</sst>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0.0"/>
    <numFmt numFmtId="166" formatCode="yyyy\-mm\-dd;@"/>
  </numFmts>
  <fonts count="7" x14ac:knownFonts="1">
    <font>
      <sz val="11"/>
      <color theme="1"/>
      <name val="Calibri"/>
      <family val="2"/>
      <scheme val="minor"/>
    </font>
    <font>
      <b/>
      <sz val="11"/>
      <color theme="1"/>
      <name val="Calibri"/>
      <family val="2"/>
      <scheme val="minor"/>
    </font>
    <font>
      <sz val="11"/>
      <color theme="0"/>
      <name val="Calibri"/>
      <family val="2"/>
      <scheme val="minor"/>
    </font>
    <font>
      <b/>
      <sz val="11"/>
      <name val="Calibri"/>
      <family val="2"/>
    </font>
    <font>
      <sz val="11"/>
      <color theme="1"/>
      <name val="Calibri"/>
      <family val="2"/>
      <scheme val="minor"/>
    </font>
    <font>
      <b/>
      <sz val="11"/>
      <color theme="0"/>
      <name val="Calibri"/>
      <family val="2"/>
      <scheme val="minor"/>
    </font>
    <font>
      <b/>
      <sz val="11"/>
      <color theme="0"/>
      <name val="Calibri"/>
      <family val="2"/>
    </font>
  </fonts>
  <fills count="10">
    <fill>
      <patternFill patternType="none"/>
    </fill>
    <fill>
      <patternFill patternType="gray125"/>
    </fill>
    <fill>
      <patternFill patternType="solid">
        <fgColor theme="0" tint="-0.499984740745262"/>
        <bgColor indexed="64"/>
      </patternFill>
    </fill>
    <fill>
      <patternFill patternType="solid">
        <fgColor theme="1" tint="0.499984740745262"/>
        <bgColor indexed="64"/>
      </patternFill>
    </fill>
    <fill>
      <patternFill patternType="solid">
        <fgColor theme="4"/>
        <bgColor theme="4"/>
      </patternFill>
    </fill>
    <fill>
      <patternFill patternType="solid">
        <fgColor rgb="FFFFFF00"/>
        <bgColor indexed="64"/>
      </patternFill>
    </fill>
    <fill>
      <patternFill patternType="solid">
        <fgColor theme="8" tint="0.59999389629810485"/>
        <bgColor indexed="64"/>
      </patternFill>
    </fill>
    <fill>
      <patternFill patternType="solid">
        <fgColor rgb="FFFF0000"/>
        <bgColor indexed="64"/>
      </patternFill>
    </fill>
    <fill>
      <patternFill patternType="solid">
        <fgColor rgb="FFFFC000"/>
        <bgColor indexed="64"/>
      </patternFill>
    </fill>
    <fill>
      <patternFill patternType="solid">
        <fgColor theme="8" tint="0.79998168889431442"/>
        <bgColor indexed="64"/>
      </patternFill>
    </fill>
  </fills>
  <borders count="11">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top style="thin">
        <color auto="1"/>
      </top>
      <bottom/>
      <diagonal/>
    </border>
  </borders>
  <cellStyleXfs count="2">
    <xf numFmtId="0" fontId="0" fillId="0" borderId="0"/>
    <xf numFmtId="9" fontId="4" fillId="0" borderId="0" applyFont="0" applyFill="0" applyBorder="0" applyAlignment="0" applyProtection="0"/>
  </cellStyleXfs>
  <cellXfs count="55">
    <xf numFmtId="0" fontId="0" fillId="0" borderId="0" xfId="0"/>
    <xf numFmtId="0" fontId="2" fillId="2" borderId="0" xfId="0" applyFont="1" applyFill="1"/>
    <xf numFmtId="0" fontId="0" fillId="2" borderId="0" xfId="0" applyFill="1"/>
    <xf numFmtId="0" fontId="2" fillId="3" borderId="0" xfId="0" applyFont="1" applyFill="1"/>
    <xf numFmtId="0" fontId="0" fillId="3" borderId="0" xfId="0" applyFill="1"/>
    <xf numFmtId="0" fontId="1" fillId="0" borderId="0" xfId="0" applyFont="1"/>
    <xf numFmtId="0" fontId="3" fillId="0" borderId="1" xfId="0" applyFont="1" applyBorder="1" applyAlignment="1">
      <alignment horizontal="center" vertical="top"/>
    </xf>
    <xf numFmtId="14" fontId="0" fillId="0" borderId="0" xfId="0" applyNumberFormat="1"/>
    <xf numFmtId="0" fontId="0" fillId="0" borderId="0" xfId="0" applyAlignment="1">
      <alignment wrapText="1"/>
    </xf>
    <xf numFmtId="14" fontId="0" fillId="0" borderId="0" xfId="0" applyNumberFormat="1" applyAlignment="1">
      <alignment wrapText="1"/>
    </xf>
    <xf numFmtId="0" fontId="5" fillId="4" borderId="3" xfId="0" applyFont="1" applyFill="1" applyBorder="1"/>
    <xf numFmtId="0" fontId="5" fillId="4" borderId="4" xfId="0" applyFont="1" applyFill="1" applyBorder="1"/>
    <xf numFmtId="14" fontId="5" fillId="4" borderId="3" xfId="0" applyNumberFormat="1" applyFont="1" applyFill="1" applyBorder="1"/>
    <xf numFmtId="9" fontId="0" fillId="0" borderId="0" xfId="1" applyFont="1"/>
    <xf numFmtId="0" fontId="3" fillId="0" borderId="2" xfId="0" applyFont="1" applyBorder="1" applyAlignment="1">
      <alignment horizontal="center" vertical="top"/>
    </xf>
    <xf numFmtId="164" fontId="0" fillId="0" borderId="0" xfId="0" applyNumberFormat="1"/>
    <xf numFmtId="0" fontId="5" fillId="4" borderId="0" xfId="0" applyFont="1" applyFill="1"/>
    <xf numFmtId="0" fontId="0" fillId="5" borderId="0" xfId="0" applyFill="1"/>
    <xf numFmtId="0" fontId="5" fillId="0" borderId="3" xfId="0" applyFont="1" applyBorder="1"/>
    <xf numFmtId="0" fontId="5" fillId="0" borderId="0" xfId="0" applyFont="1"/>
    <xf numFmtId="0" fontId="0" fillId="0" borderId="0" xfId="0" applyAlignment="1">
      <alignment horizontal="right"/>
    </xf>
    <xf numFmtId="0" fontId="3" fillId="4" borderId="1" xfId="0" applyFont="1" applyFill="1" applyBorder="1" applyAlignment="1">
      <alignment horizontal="center" vertical="top"/>
    </xf>
    <xf numFmtId="165" fontId="0" fillId="0" borderId="0" xfId="0" applyNumberFormat="1"/>
    <xf numFmtId="0" fontId="0" fillId="6" borderId="0" xfId="0" applyFill="1"/>
    <xf numFmtId="0" fontId="0" fillId="7" borderId="0" xfId="0" applyFill="1"/>
    <xf numFmtId="0" fontId="0" fillId="8" borderId="0" xfId="0" applyFill="1"/>
    <xf numFmtId="0" fontId="0" fillId="9" borderId="0" xfId="0" applyFill="1"/>
    <xf numFmtId="9" fontId="0" fillId="9" borderId="0" xfId="1" applyFont="1" applyFill="1"/>
    <xf numFmtId="0" fontId="0" fillId="0" borderId="0" xfId="0" applyAlignment="1">
      <alignment horizontal="center" vertical="center" wrapText="1"/>
    </xf>
    <xf numFmtId="0" fontId="1" fillId="0" borderId="2" xfId="0" applyFont="1" applyBorder="1" applyAlignment="1">
      <alignment horizontal="center" wrapText="1"/>
    </xf>
    <xf numFmtId="0" fontId="0" fillId="0" borderId="2" xfId="0" applyBorder="1" applyAlignment="1">
      <alignment horizontal="center" wrapText="1"/>
    </xf>
    <xf numFmtId="0" fontId="0" fillId="0" borderId="2" xfId="0" applyBorder="1" applyAlignment="1">
      <alignment horizontal="right" wrapText="1"/>
    </xf>
    <xf numFmtId="0" fontId="0" fillId="0" borderId="2" xfId="0" applyBorder="1" applyAlignment="1">
      <alignment wrapText="1"/>
    </xf>
    <xf numFmtId="0" fontId="0" fillId="0" borderId="2" xfId="0" applyBorder="1" applyAlignment="1">
      <alignment horizontal="left" vertical="center" wrapText="1"/>
    </xf>
    <xf numFmtId="0" fontId="0" fillId="0" borderId="2" xfId="0" applyBorder="1"/>
    <xf numFmtId="0" fontId="0" fillId="6" borderId="0" xfId="0" applyFill="1" applyAlignment="1">
      <alignment horizontal="center"/>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xf numFmtId="0" fontId="1" fillId="0" borderId="6" xfId="0" applyFont="1"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1" xfId="0" applyFont="1" applyBorder="1" applyAlignment="1">
      <alignment horizontal="center" vertical="center"/>
    </xf>
    <xf numFmtId="0" fontId="0" fillId="0" borderId="0" xfId="0" applyNumberFormat="1"/>
    <xf numFmtId="0" fontId="1" fillId="0" borderId="0" xfId="0" applyNumberFormat="1" applyFont="1"/>
    <xf numFmtId="2" fontId="0" fillId="9" borderId="0" xfId="0" applyNumberFormat="1" applyFill="1"/>
    <xf numFmtId="166" fontId="0" fillId="9" borderId="0" xfId="0" applyNumberFormat="1" applyFill="1"/>
    <xf numFmtId="0" fontId="0" fillId="0" borderId="5"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6" fillId="0" borderId="7" xfId="0" applyFont="1" applyBorder="1" applyAlignment="1">
      <alignment horizontal="center" vertical="top"/>
    </xf>
    <xf numFmtId="0" fontId="6" fillId="0" borderId="1" xfId="0" applyFont="1" applyBorder="1" applyAlignment="1">
      <alignment horizontal="center" vertical="top"/>
    </xf>
    <xf numFmtId="0" fontId="6" fillId="0" borderId="8" xfId="0" applyFont="1" applyBorder="1" applyAlignment="1">
      <alignment horizontal="center" vertical="top"/>
    </xf>
    <xf numFmtId="0" fontId="0" fillId="0" borderId="0" xfId="0" applyNumberFormat="1" applyAlignment="1">
      <alignment wrapText="1"/>
    </xf>
  </cellXfs>
  <cellStyles count="2">
    <cellStyle name="Normal" xfId="0" builtinId="0"/>
    <cellStyle name="Percent" xfId="1" builtinId="5"/>
  </cellStyles>
  <dxfs count="26">
    <dxf>
      <numFmt numFmtId="164" formatCode="yyyy\-mm\-dd"/>
    </dxf>
    <dxf>
      <numFmt numFmtId="164" formatCode="yyyy\-mm\-dd"/>
    </dxf>
    <dxf>
      <numFmt numFmtId="164" formatCode="yyyy\-mm\-dd"/>
    </dxf>
    <dxf>
      <numFmt numFmtId="164" formatCode="yyyy\-mm\-dd"/>
    </dxf>
    <dxf>
      <numFmt numFmtId="164" formatCode="yyyy\-mm\-dd"/>
    </dxf>
    <dxf>
      <numFmt numFmtId="164" formatCode="yyyy\-mm\-dd"/>
    </dxf>
    <dxf>
      <alignment horizontal="center" vertical="center" textRotation="0" wrapText="1" indent="0" justifyLastLine="0" shrinkToFit="0" readingOrder="0"/>
    </dxf>
    <dxf>
      <alignment horizontal="center" vertical="center" textRotation="0" wrapText="1" indent="0" justifyLastLine="0" shrinkToFit="0" readingOrder="0"/>
      <border diagonalUp="0" diagonalDown="0" outline="0">
        <left style="thin">
          <color auto="1"/>
        </left>
        <right/>
        <top style="thin">
          <color auto="1"/>
        </top>
        <bottom style="thin">
          <color auto="1"/>
        </bottom>
      </border>
    </dxf>
    <dxf>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alignment horizontal="center" vertical="center" textRotation="0" wrapText="1" indent="0" justifyLastLine="0" shrinkToFit="0" readingOrder="0"/>
      <border diagonalUp="0" diagonalDown="0" outline="0">
        <left/>
        <right style="thin">
          <color auto="1"/>
        </right>
        <top style="thin">
          <color auto="1"/>
        </top>
        <bottom style="thin">
          <color auto="1"/>
        </bottom>
      </border>
    </dxf>
    <dxf>
      <font>
        <b/>
        <i val="0"/>
        <strike val="0"/>
        <condense val="0"/>
        <extend val="0"/>
        <outline val="0"/>
        <shadow val="0"/>
        <u val="none"/>
        <vertAlign val="baseline"/>
        <sz val="11"/>
        <color theme="0"/>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
      <font>
        <b/>
        <i val="0"/>
        <strike val="0"/>
        <condense val="0"/>
        <extend val="0"/>
        <outline val="0"/>
        <shadow val="0"/>
        <u val="none"/>
        <vertAlign val="baseline"/>
        <sz val="11"/>
        <color theme="0"/>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border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numFmt numFmtId="164" formatCode="yyyy\-mm\-dd"/>
    </dxf>
    <dxf>
      <numFmt numFmtId="164" formatCode="yyyy\-mm\-dd"/>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colors>
    <mruColors>
      <color rgb="FFF60000"/>
      <color rgb="FFF8F200"/>
      <color rgb="FF70CD5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calculation!$AJ$5</c:f>
          <c:strCache>
            <c:ptCount val="1"/>
            <c:pt idx="0">
              <c:v>Distribution Topic Period: February 2024</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2173956674394613"/>
          <c:y val="0.11552411917629915"/>
          <c:w val="0.77826043325605387"/>
          <c:h val="0.77650592990568701"/>
        </c:manualLayout>
      </c:layout>
      <c:barChart>
        <c:barDir val="bar"/>
        <c:grouping val="stacked"/>
        <c:varyColors val="0"/>
        <c:ser>
          <c:idx val="0"/>
          <c:order val="0"/>
          <c:tx>
            <c:strRef>
              <c:f>calculation!$AJ$7</c:f>
              <c:strCache>
                <c:ptCount val="1"/>
                <c:pt idx="0">
                  <c:v>positive</c:v>
                </c:pt>
              </c:strCache>
            </c:strRef>
          </c:tx>
          <c:spPr>
            <a:solidFill>
              <a:srgbClr val="70CD53"/>
            </a:solidFill>
            <a:ln>
              <a:noFill/>
            </a:ln>
            <a:effectLst/>
          </c:spPr>
          <c:invertIfNegative val="0"/>
          <c:dLbls>
            <c:dLbl>
              <c:idx val="0"/>
              <c:tx>
                <c:rich>
                  <a:bodyPr/>
                  <a:lstStyle/>
                  <a:p>
                    <a:fld id="{98F16969-5B21-421F-BF9F-3254A03C2B86}"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CA5A-4C78-97CD-362A129CF4FC}"/>
                </c:ext>
              </c:extLst>
            </c:dLbl>
            <c:dLbl>
              <c:idx val="1"/>
              <c:tx>
                <c:rich>
                  <a:bodyPr/>
                  <a:lstStyle/>
                  <a:p>
                    <a:fld id="{76E74FC4-9F8E-4499-A23A-B09D0DC9DC84}"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CA5A-4C78-97CD-362A129CF4FC}"/>
                </c:ext>
              </c:extLst>
            </c:dLbl>
            <c:dLbl>
              <c:idx val="2"/>
              <c:tx>
                <c:rich>
                  <a:bodyPr/>
                  <a:lstStyle/>
                  <a:p>
                    <a:fld id="{8944EEB1-BA57-4016-9CE6-93DC96843A99}"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CA5A-4C78-97CD-362A129CF4FC}"/>
                </c:ext>
              </c:extLst>
            </c:dLbl>
            <c:dLbl>
              <c:idx val="3"/>
              <c:tx>
                <c:rich>
                  <a:bodyPr/>
                  <a:lstStyle/>
                  <a:p>
                    <a:fld id="{7DA96A14-6C8B-45DE-A510-519AF7A9BEA2}"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CA5A-4C78-97CD-362A129CF4FC}"/>
                </c:ext>
              </c:extLst>
            </c:dLbl>
            <c:dLbl>
              <c:idx val="4"/>
              <c:tx>
                <c:rich>
                  <a:bodyPr/>
                  <a:lstStyle/>
                  <a:p>
                    <a:fld id="{DDD10B1E-9B60-4EE9-BCD2-43C2EFC8E286}"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CA5A-4C78-97CD-362A129CF4FC}"/>
                </c:ext>
              </c:extLst>
            </c:dLbl>
            <c:dLbl>
              <c:idx val="5"/>
              <c:tx>
                <c:rich>
                  <a:bodyPr/>
                  <a:lstStyle/>
                  <a:p>
                    <a:fld id="{C6BE6CCD-FE88-41D0-92F4-5E0BE30DA056}"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CA5A-4C78-97CD-362A129CF4FC}"/>
                </c:ext>
              </c:extLst>
            </c:dLbl>
            <c:dLbl>
              <c:idx val="6"/>
              <c:tx>
                <c:rich>
                  <a:bodyPr/>
                  <a:lstStyle/>
                  <a:p>
                    <a:fld id="{BB9894D5-1766-4134-A87D-87B27B80DAD0}"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CA5A-4C78-97CD-362A129CF4FC}"/>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calculation!$AI$8:$AI$14</c:f>
              <c:strCache>
                <c:ptCount val="7"/>
                <c:pt idx="0">
                  <c:v>Food and Menu Items</c:v>
                </c:pt>
                <c:pt idx="1">
                  <c:v>Condiments</c:v>
                </c:pt>
                <c:pt idx="2">
                  <c:v>Packaging</c:v>
                </c:pt>
                <c:pt idx="3">
                  <c:v>Pricing and Value</c:v>
                </c:pt>
                <c:pt idx="4">
                  <c:v>Experience and Environment</c:v>
                </c:pt>
                <c:pt idx="5">
                  <c:v>Service and Staff</c:v>
                </c:pt>
                <c:pt idx="6">
                  <c:v>Miscellaneous</c:v>
                </c:pt>
              </c:strCache>
            </c:strRef>
          </c:cat>
          <c:val>
            <c:numRef>
              <c:f>calculation!$AJ$8:$AJ$14</c:f>
              <c:numCache>
                <c:formatCode>General</c:formatCode>
                <c:ptCount val="7"/>
                <c:pt idx="0">
                  <c:v>0</c:v>
                </c:pt>
                <c:pt idx="1">
                  <c:v>0</c:v>
                </c:pt>
                <c:pt idx="2">
                  <c:v>0</c:v>
                </c:pt>
                <c:pt idx="3">
                  <c:v>0</c:v>
                </c:pt>
                <c:pt idx="4">
                  <c:v>1</c:v>
                </c:pt>
                <c:pt idx="5">
                  <c:v>0</c:v>
                </c:pt>
                <c:pt idx="6">
                  <c:v>0</c:v>
                </c:pt>
              </c:numCache>
            </c:numRef>
          </c:val>
          <c:extLst>
            <c:ext xmlns:c15="http://schemas.microsoft.com/office/drawing/2012/chart" uri="{02D57815-91ED-43cb-92C2-25804820EDAC}">
              <c15:datalabelsRange>
                <c15:f>calculation!$AP$8:$AP$14</c15:f>
                <c15:dlblRangeCache>
                  <c:ptCount val="7"/>
                </c15:dlblRangeCache>
              </c15:datalabelsRange>
            </c:ext>
            <c:ext xmlns:c16="http://schemas.microsoft.com/office/drawing/2014/chart" uri="{C3380CC4-5D6E-409C-BE32-E72D297353CC}">
              <c16:uniqueId val="{00000007-CA5A-4C78-97CD-362A129CF4FC}"/>
            </c:ext>
          </c:extLst>
        </c:ser>
        <c:ser>
          <c:idx val="1"/>
          <c:order val="1"/>
          <c:tx>
            <c:strRef>
              <c:f>calculation!$AK$7</c:f>
              <c:strCache>
                <c:ptCount val="1"/>
                <c:pt idx="0">
                  <c:v>neutral</c:v>
                </c:pt>
              </c:strCache>
            </c:strRef>
          </c:tx>
          <c:spPr>
            <a:solidFill>
              <a:srgbClr val="F8F200"/>
            </a:solidFill>
            <a:ln>
              <a:noFill/>
            </a:ln>
            <a:effectLst/>
          </c:spPr>
          <c:invertIfNegative val="0"/>
          <c:dLbls>
            <c:dLbl>
              <c:idx val="0"/>
              <c:tx>
                <c:rich>
                  <a:bodyPr/>
                  <a:lstStyle/>
                  <a:p>
                    <a:fld id="{E6C71D8F-7DB9-4BAD-818E-9256CEF6F331}"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CA5A-4C78-97CD-362A129CF4FC}"/>
                </c:ext>
              </c:extLst>
            </c:dLbl>
            <c:dLbl>
              <c:idx val="1"/>
              <c:tx>
                <c:rich>
                  <a:bodyPr/>
                  <a:lstStyle/>
                  <a:p>
                    <a:fld id="{8DFBC791-C455-41BD-AF6B-65006FE22F46}"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CA5A-4C78-97CD-362A129CF4FC}"/>
                </c:ext>
              </c:extLst>
            </c:dLbl>
            <c:dLbl>
              <c:idx val="2"/>
              <c:tx>
                <c:rich>
                  <a:bodyPr/>
                  <a:lstStyle/>
                  <a:p>
                    <a:fld id="{BEC2AF2C-AF44-4887-B969-A689394A7B14}"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CA5A-4C78-97CD-362A129CF4FC}"/>
                </c:ext>
              </c:extLst>
            </c:dLbl>
            <c:dLbl>
              <c:idx val="3"/>
              <c:tx>
                <c:rich>
                  <a:bodyPr/>
                  <a:lstStyle/>
                  <a:p>
                    <a:fld id="{8755B48B-0AA6-49E6-BF47-3E1A335970F6}"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CA5A-4C78-97CD-362A129CF4FC}"/>
                </c:ext>
              </c:extLst>
            </c:dLbl>
            <c:dLbl>
              <c:idx val="4"/>
              <c:tx>
                <c:rich>
                  <a:bodyPr/>
                  <a:lstStyle/>
                  <a:p>
                    <a:fld id="{CEB9CA2F-4FBC-41E5-85BE-FB5339B792AC}"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CA5A-4C78-97CD-362A129CF4FC}"/>
                </c:ext>
              </c:extLst>
            </c:dLbl>
            <c:dLbl>
              <c:idx val="5"/>
              <c:tx>
                <c:rich>
                  <a:bodyPr/>
                  <a:lstStyle/>
                  <a:p>
                    <a:fld id="{7013DE5D-4F83-4BC3-B48A-3C883F50DB3E}"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CA5A-4C78-97CD-362A129CF4FC}"/>
                </c:ext>
              </c:extLst>
            </c:dLbl>
            <c:dLbl>
              <c:idx val="6"/>
              <c:tx>
                <c:rich>
                  <a:bodyPr/>
                  <a:lstStyle/>
                  <a:p>
                    <a:fld id="{7AB310E6-F1D5-4741-90F1-F87F496F7B33}"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CA5A-4C78-97CD-362A129CF4FC}"/>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calculation!$AI$8:$AI$14</c:f>
              <c:strCache>
                <c:ptCount val="7"/>
                <c:pt idx="0">
                  <c:v>Food and Menu Items</c:v>
                </c:pt>
                <c:pt idx="1">
                  <c:v>Condiments</c:v>
                </c:pt>
                <c:pt idx="2">
                  <c:v>Packaging</c:v>
                </c:pt>
                <c:pt idx="3">
                  <c:v>Pricing and Value</c:v>
                </c:pt>
                <c:pt idx="4">
                  <c:v>Experience and Environment</c:v>
                </c:pt>
                <c:pt idx="5">
                  <c:v>Service and Staff</c:v>
                </c:pt>
                <c:pt idx="6">
                  <c:v>Miscellaneous</c:v>
                </c:pt>
              </c:strCache>
            </c:strRef>
          </c:cat>
          <c:val>
            <c:numRef>
              <c:f>calculation!$AK$8:$AK$14</c:f>
              <c:numCache>
                <c:formatCode>General</c:formatCode>
                <c:ptCount val="7"/>
                <c:pt idx="0">
                  <c:v>1</c:v>
                </c:pt>
                <c:pt idx="1">
                  <c:v>0</c:v>
                </c:pt>
                <c:pt idx="2">
                  <c:v>0</c:v>
                </c:pt>
                <c:pt idx="3">
                  <c:v>0</c:v>
                </c:pt>
                <c:pt idx="4">
                  <c:v>0</c:v>
                </c:pt>
                <c:pt idx="5">
                  <c:v>0</c:v>
                </c:pt>
                <c:pt idx="6">
                  <c:v>0</c:v>
                </c:pt>
              </c:numCache>
            </c:numRef>
          </c:val>
          <c:extLst>
            <c:ext xmlns:c15="http://schemas.microsoft.com/office/drawing/2012/chart" uri="{02D57815-91ED-43cb-92C2-25804820EDAC}">
              <c15:datalabelsRange>
                <c15:f>calculation!$AQ$8:$AQ$14</c15:f>
                <c15:dlblRangeCache>
                  <c:ptCount val="7"/>
                  <c:pt idx="0">
                    <c:v>50%</c:v>
                  </c:pt>
                </c15:dlblRangeCache>
              </c15:datalabelsRange>
            </c:ext>
            <c:ext xmlns:c16="http://schemas.microsoft.com/office/drawing/2014/chart" uri="{C3380CC4-5D6E-409C-BE32-E72D297353CC}">
              <c16:uniqueId val="{0000000F-CA5A-4C78-97CD-362A129CF4FC}"/>
            </c:ext>
          </c:extLst>
        </c:ser>
        <c:ser>
          <c:idx val="2"/>
          <c:order val="2"/>
          <c:tx>
            <c:strRef>
              <c:f>calculation!$AL$7</c:f>
              <c:strCache>
                <c:ptCount val="1"/>
                <c:pt idx="0">
                  <c:v>negative</c:v>
                </c:pt>
              </c:strCache>
            </c:strRef>
          </c:tx>
          <c:spPr>
            <a:solidFill>
              <a:srgbClr val="F60000"/>
            </a:solidFill>
            <a:ln>
              <a:noFill/>
            </a:ln>
            <a:effectLst/>
          </c:spPr>
          <c:invertIfNegative val="0"/>
          <c:dLbls>
            <c:dLbl>
              <c:idx val="0"/>
              <c:tx>
                <c:rich>
                  <a:bodyPr/>
                  <a:lstStyle/>
                  <a:p>
                    <a:fld id="{03884094-734E-4ABE-B9C4-DBB75F6EF57D}"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0-CA5A-4C78-97CD-362A129CF4FC}"/>
                </c:ext>
              </c:extLst>
            </c:dLbl>
            <c:dLbl>
              <c:idx val="1"/>
              <c:tx>
                <c:rich>
                  <a:bodyPr/>
                  <a:lstStyle/>
                  <a:p>
                    <a:fld id="{421FC858-EDB1-49F5-9242-F42E51141E8F}"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CA5A-4C78-97CD-362A129CF4FC}"/>
                </c:ext>
              </c:extLst>
            </c:dLbl>
            <c:dLbl>
              <c:idx val="2"/>
              <c:tx>
                <c:rich>
                  <a:bodyPr/>
                  <a:lstStyle/>
                  <a:p>
                    <a:fld id="{0C692BF3-B35D-4540-8B69-C435D80F0449}"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CA5A-4C78-97CD-362A129CF4FC}"/>
                </c:ext>
              </c:extLst>
            </c:dLbl>
            <c:dLbl>
              <c:idx val="3"/>
              <c:tx>
                <c:rich>
                  <a:bodyPr/>
                  <a:lstStyle/>
                  <a:p>
                    <a:fld id="{C955303C-AD6E-4B6D-A636-FF845DBE0C48}"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CA5A-4C78-97CD-362A129CF4FC}"/>
                </c:ext>
              </c:extLst>
            </c:dLbl>
            <c:dLbl>
              <c:idx val="4"/>
              <c:tx>
                <c:rich>
                  <a:bodyPr/>
                  <a:lstStyle/>
                  <a:p>
                    <a:fld id="{74C5B759-71CE-449F-89A8-E23F44BE1AD5}"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CA5A-4C78-97CD-362A129CF4FC}"/>
                </c:ext>
              </c:extLst>
            </c:dLbl>
            <c:dLbl>
              <c:idx val="5"/>
              <c:tx>
                <c:rich>
                  <a:bodyPr/>
                  <a:lstStyle/>
                  <a:p>
                    <a:fld id="{19CD7DD9-2861-4A9D-8F03-5313B6D1A3F9}"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CA5A-4C78-97CD-362A129CF4FC}"/>
                </c:ext>
              </c:extLst>
            </c:dLbl>
            <c:dLbl>
              <c:idx val="6"/>
              <c:tx>
                <c:rich>
                  <a:bodyPr/>
                  <a:lstStyle/>
                  <a:p>
                    <a:fld id="{8539C6F7-4D02-4BF9-915B-59D0FAB338D5}"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CA5A-4C78-97CD-362A129CF4FC}"/>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calculation!$AI$8:$AI$14</c:f>
              <c:strCache>
                <c:ptCount val="7"/>
                <c:pt idx="0">
                  <c:v>Food and Menu Items</c:v>
                </c:pt>
                <c:pt idx="1">
                  <c:v>Condiments</c:v>
                </c:pt>
                <c:pt idx="2">
                  <c:v>Packaging</c:v>
                </c:pt>
                <c:pt idx="3">
                  <c:v>Pricing and Value</c:v>
                </c:pt>
                <c:pt idx="4">
                  <c:v>Experience and Environment</c:v>
                </c:pt>
                <c:pt idx="5">
                  <c:v>Service and Staff</c:v>
                </c:pt>
                <c:pt idx="6">
                  <c:v>Miscellaneous</c:v>
                </c:pt>
              </c:strCache>
            </c:strRef>
          </c:cat>
          <c:val>
            <c:numRef>
              <c:f>calculation!$AL$8:$AL$14</c:f>
              <c:numCache>
                <c:formatCode>General</c:formatCode>
                <c:ptCount val="7"/>
                <c:pt idx="0">
                  <c:v>1</c:v>
                </c:pt>
                <c:pt idx="1">
                  <c:v>1</c:v>
                </c:pt>
                <c:pt idx="2">
                  <c:v>0</c:v>
                </c:pt>
                <c:pt idx="3">
                  <c:v>0</c:v>
                </c:pt>
                <c:pt idx="4">
                  <c:v>0</c:v>
                </c:pt>
                <c:pt idx="5">
                  <c:v>2</c:v>
                </c:pt>
                <c:pt idx="6">
                  <c:v>1</c:v>
                </c:pt>
              </c:numCache>
            </c:numRef>
          </c:val>
          <c:extLst>
            <c:ext xmlns:c15="http://schemas.microsoft.com/office/drawing/2012/chart" uri="{02D57815-91ED-43cb-92C2-25804820EDAC}">
              <c15:datalabelsRange>
                <c15:f>calculation!$AR$8:$AR$14</c15:f>
                <c15:dlblRangeCache>
                  <c:ptCount val="7"/>
                  <c:pt idx="0">
                    <c:v>50%</c:v>
                  </c:pt>
                </c15:dlblRangeCache>
              </c15:datalabelsRange>
            </c:ext>
            <c:ext xmlns:c16="http://schemas.microsoft.com/office/drawing/2014/chart" uri="{C3380CC4-5D6E-409C-BE32-E72D297353CC}">
              <c16:uniqueId val="{00000017-CA5A-4C78-97CD-362A129CF4FC}"/>
            </c:ext>
          </c:extLst>
        </c:ser>
        <c:ser>
          <c:idx val="3"/>
          <c:order val="3"/>
          <c:tx>
            <c:strRef>
              <c:f>calculation!$AO$7</c:f>
              <c:strCache>
                <c:ptCount val="1"/>
                <c:pt idx="0">
                  <c:v>dummy</c:v>
                </c:pt>
              </c:strCache>
            </c:strRef>
          </c:tx>
          <c:spPr>
            <a:noFill/>
            <a:ln>
              <a:noFill/>
            </a:ln>
            <a:effectLst/>
          </c:spPr>
          <c:invertIfNegative val="0"/>
          <c:dLbls>
            <c:dLbl>
              <c:idx val="0"/>
              <c:tx>
                <c:rich>
                  <a:bodyPr/>
                  <a:lstStyle/>
                  <a:p>
                    <a:fld id="{A0F3BEDB-39A1-4C6C-A295-99BB791BD9AC}"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8-CA5A-4C78-97CD-362A129CF4FC}"/>
                </c:ext>
              </c:extLst>
            </c:dLbl>
            <c:dLbl>
              <c:idx val="1"/>
              <c:tx>
                <c:rich>
                  <a:bodyPr/>
                  <a:lstStyle/>
                  <a:p>
                    <a:fld id="{4B4E4E8F-ABCE-4877-BEA8-CDB01D639A5C}"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CA5A-4C78-97CD-362A129CF4FC}"/>
                </c:ext>
              </c:extLst>
            </c:dLbl>
            <c:dLbl>
              <c:idx val="2"/>
              <c:tx>
                <c:rich>
                  <a:bodyPr/>
                  <a:lstStyle/>
                  <a:p>
                    <a:fld id="{6D5AB7D8-2406-4DEE-8867-2D43271DA152}"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CA5A-4C78-97CD-362A129CF4FC}"/>
                </c:ext>
              </c:extLst>
            </c:dLbl>
            <c:dLbl>
              <c:idx val="3"/>
              <c:tx>
                <c:rich>
                  <a:bodyPr/>
                  <a:lstStyle/>
                  <a:p>
                    <a:fld id="{82C44D40-5AB6-4D57-8E9D-A91F245F0F67}"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CA5A-4C78-97CD-362A129CF4FC}"/>
                </c:ext>
              </c:extLst>
            </c:dLbl>
            <c:dLbl>
              <c:idx val="4"/>
              <c:tx>
                <c:rich>
                  <a:bodyPr/>
                  <a:lstStyle/>
                  <a:p>
                    <a:fld id="{EEDC2FB2-EF4B-4E59-B9DE-EC08D8448C0D}"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CA5A-4C78-97CD-362A129CF4FC}"/>
                </c:ext>
              </c:extLst>
            </c:dLbl>
            <c:dLbl>
              <c:idx val="5"/>
              <c:tx>
                <c:rich>
                  <a:bodyPr/>
                  <a:lstStyle/>
                  <a:p>
                    <a:fld id="{7171CBA9-2187-4450-939B-F34E1C5A8A53}"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CA5A-4C78-97CD-362A129CF4FC}"/>
                </c:ext>
              </c:extLst>
            </c:dLbl>
            <c:dLbl>
              <c:idx val="6"/>
              <c:tx>
                <c:rich>
                  <a:bodyPr/>
                  <a:lstStyle/>
                  <a:p>
                    <a:fld id="{ACCF19D9-25DF-413A-89E6-75F602A61C30}"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CA5A-4C78-97CD-362A129CF4FC}"/>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val>
            <c:numRef>
              <c:f>calculation!$AO$8:$AO$14</c:f>
              <c:numCache>
                <c:formatCode>General</c:formatCode>
                <c:ptCount val="7"/>
                <c:pt idx="0">
                  <c:v>0.25</c:v>
                </c:pt>
                <c:pt idx="1">
                  <c:v>0.25</c:v>
                </c:pt>
                <c:pt idx="2">
                  <c:v>0.25</c:v>
                </c:pt>
                <c:pt idx="3">
                  <c:v>0.25</c:v>
                </c:pt>
                <c:pt idx="4">
                  <c:v>0.25</c:v>
                </c:pt>
                <c:pt idx="5">
                  <c:v>0.25</c:v>
                </c:pt>
                <c:pt idx="6">
                  <c:v>0.25</c:v>
                </c:pt>
              </c:numCache>
            </c:numRef>
          </c:val>
          <c:extLst>
            <c:ext xmlns:c15="http://schemas.microsoft.com/office/drawing/2012/chart" uri="{02D57815-91ED-43cb-92C2-25804820EDAC}">
              <c15:datalabelsRange>
                <c15:f>calculation!$AN$8:$AN$14</c15:f>
                <c15:dlblRangeCache>
                  <c:ptCount val="7"/>
                  <c:pt idx="0">
                    <c:v>2</c:v>
                  </c:pt>
                  <c:pt idx="1">
                    <c:v>1</c:v>
                  </c:pt>
                  <c:pt idx="4">
                    <c:v>1</c:v>
                  </c:pt>
                  <c:pt idx="5">
                    <c:v>2</c:v>
                  </c:pt>
                  <c:pt idx="6">
                    <c:v>1</c:v>
                  </c:pt>
                </c15:dlblRangeCache>
              </c15:datalabelsRange>
            </c:ext>
            <c:ext xmlns:c16="http://schemas.microsoft.com/office/drawing/2014/chart" uri="{C3380CC4-5D6E-409C-BE32-E72D297353CC}">
              <c16:uniqueId val="{0000001F-CA5A-4C78-97CD-362A129CF4FC}"/>
            </c:ext>
          </c:extLst>
        </c:ser>
        <c:dLbls>
          <c:showLegendKey val="0"/>
          <c:showVal val="0"/>
          <c:showCatName val="0"/>
          <c:showSerName val="0"/>
          <c:showPercent val="0"/>
          <c:showBubbleSize val="0"/>
        </c:dLbls>
        <c:gapWidth val="75"/>
        <c:overlap val="100"/>
        <c:axId val="553695343"/>
        <c:axId val="553696303"/>
      </c:barChart>
      <c:catAx>
        <c:axId val="5536953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3696303"/>
        <c:crosses val="autoZero"/>
        <c:auto val="1"/>
        <c:lblAlgn val="ctr"/>
        <c:lblOffset val="100"/>
        <c:noMultiLvlLbl val="0"/>
      </c:catAx>
      <c:valAx>
        <c:axId val="553696303"/>
        <c:scaling>
          <c:orientation val="minMax"/>
        </c:scaling>
        <c:delete val="1"/>
        <c:axPos val="b"/>
        <c:numFmt formatCode="General" sourceLinked="1"/>
        <c:majorTickMark val="none"/>
        <c:minorTickMark val="none"/>
        <c:tickLblPos val="nextTo"/>
        <c:crossAx val="553695343"/>
        <c:crosses val="autoZero"/>
        <c:crossBetween val="between"/>
      </c:valAx>
      <c:spPr>
        <a:noFill/>
        <a:ln>
          <a:noFill/>
        </a:ln>
        <a:effectLst/>
      </c:spPr>
    </c:plotArea>
    <c:legend>
      <c:legendPos val="b"/>
      <c:legendEntry>
        <c:idx val="3"/>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7665866669570429E-2"/>
          <c:y val="0.16463939521975357"/>
          <c:w val="0.96994980772603145"/>
          <c:h val="0.46364562007153515"/>
        </c:manualLayout>
      </c:layout>
      <c:lineChart>
        <c:grouping val="standard"/>
        <c:varyColors val="0"/>
        <c:ser>
          <c:idx val="3"/>
          <c:order val="0"/>
          <c:tx>
            <c:strRef>
              <c:f>calculation!$AV$9</c:f>
              <c:strCache>
                <c:ptCount val="1"/>
                <c:pt idx="0">
                  <c:v>Frequency</c:v>
                </c:pt>
              </c:strCache>
            </c:strRef>
          </c:tx>
          <c:spPr>
            <a:ln w="28575" cap="rnd">
              <a:solidFill>
                <a:schemeClr val="bg1">
                  <a:lumMod val="85000"/>
                </a:schemeClr>
              </a:solidFill>
              <a:round/>
            </a:ln>
            <a:effectLst/>
          </c:spPr>
          <c:marker>
            <c:symbol val="circle"/>
            <c:size val="5"/>
            <c:spPr>
              <a:solidFill>
                <a:schemeClr val="bg1">
                  <a:lumMod val="85000"/>
                </a:schemeClr>
              </a:solidFill>
              <a:ln w="9525">
                <a:solidFill>
                  <a:schemeClr val="bg1">
                    <a:lumMod val="85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calculation!$AV$12:$AV$23</c:f>
              <c:numCache>
                <c:formatCode>yyyy\-mm\-dd;@</c:formatCode>
                <c:ptCount val="12"/>
                <c:pt idx="0">
                  <c:v>45292</c:v>
                </c:pt>
                <c:pt idx="1">
                  <c:v>45323</c:v>
                </c:pt>
                <c:pt idx="2">
                  <c:v>45352</c:v>
                </c:pt>
                <c:pt idx="3">
                  <c:v>45383</c:v>
                </c:pt>
                <c:pt idx="4">
                  <c:v>45413</c:v>
                </c:pt>
                <c:pt idx="5">
                  <c:v>45444</c:v>
                </c:pt>
                <c:pt idx="6">
                  <c:v>45474</c:v>
                </c:pt>
                <c:pt idx="7">
                  <c:v>45505</c:v>
                </c:pt>
                <c:pt idx="8">
                  <c:v>45536</c:v>
                </c:pt>
                <c:pt idx="9">
                  <c:v>45566</c:v>
                </c:pt>
                <c:pt idx="10">
                  <c:v>45597</c:v>
                </c:pt>
                <c:pt idx="11">
                  <c:v>45627</c:v>
                </c:pt>
              </c:numCache>
            </c:numRef>
          </c:cat>
          <c:val>
            <c:numRef>
              <c:f>calculation!$BE$12:$BE$23</c:f>
              <c:numCache>
                <c:formatCode>0.0</c:formatCode>
                <c:ptCount val="12"/>
                <c:pt idx="0">
                  <c:v>1</c:v>
                </c:pt>
                <c:pt idx="1">
                  <c:v>2</c:v>
                </c:pt>
                <c:pt idx="2">
                  <c:v>8</c:v>
                </c:pt>
                <c:pt idx="3">
                  <c:v>2</c:v>
                </c:pt>
                <c:pt idx="4">
                  <c:v>6</c:v>
                </c:pt>
                <c:pt idx="5">
                  <c:v>5</c:v>
                </c:pt>
                <c:pt idx="6">
                  <c:v>4</c:v>
                </c:pt>
                <c:pt idx="7">
                  <c:v>3</c:v>
                </c:pt>
                <c:pt idx="8">
                  <c:v>6</c:v>
                </c:pt>
                <c:pt idx="9">
                  <c:v>7</c:v>
                </c:pt>
                <c:pt idx="10">
                  <c:v>7</c:v>
                </c:pt>
                <c:pt idx="11">
                  <c:v>2</c:v>
                </c:pt>
              </c:numCache>
            </c:numRef>
          </c:val>
          <c:smooth val="0"/>
          <c:extLst>
            <c:ext xmlns:c16="http://schemas.microsoft.com/office/drawing/2014/chart" uri="{C3380CC4-5D6E-409C-BE32-E72D297353CC}">
              <c16:uniqueId val="{00000000-57AE-45AD-AD70-3F742CC37DF0}"/>
            </c:ext>
          </c:extLst>
        </c:ser>
        <c:dLbls>
          <c:showLegendKey val="0"/>
          <c:showVal val="0"/>
          <c:showCatName val="0"/>
          <c:showSerName val="0"/>
          <c:showPercent val="0"/>
          <c:showBubbleSize val="0"/>
        </c:dLbls>
        <c:marker val="1"/>
        <c:smooth val="0"/>
        <c:axId val="1105380432"/>
        <c:axId val="1247242688"/>
      </c:lineChart>
      <c:dateAx>
        <c:axId val="1105380432"/>
        <c:scaling>
          <c:orientation val="minMax"/>
        </c:scaling>
        <c:delete val="1"/>
        <c:axPos val="b"/>
        <c:numFmt formatCode="yyyy\-mm\-dd;@" sourceLinked="1"/>
        <c:majorTickMark val="out"/>
        <c:minorTickMark val="none"/>
        <c:tickLblPos val="nextTo"/>
        <c:crossAx val="1247242688"/>
        <c:crosses val="autoZero"/>
        <c:auto val="0"/>
        <c:lblOffset val="100"/>
        <c:baseTimeUnit val="months"/>
      </c:dateAx>
      <c:valAx>
        <c:axId val="1247242688"/>
        <c:scaling>
          <c:orientation val="minMax"/>
        </c:scaling>
        <c:delete val="1"/>
        <c:axPos val="l"/>
        <c:numFmt formatCode="0.0" sourceLinked="1"/>
        <c:majorTickMark val="out"/>
        <c:minorTickMark val="none"/>
        <c:tickLblPos val="nextTo"/>
        <c:crossAx val="1105380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calculation!$AW$11</c:f>
              <c:strCache>
                <c:ptCount val="1"/>
                <c:pt idx="0">
                  <c:v>positive</c:v>
                </c:pt>
              </c:strCache>
            </c:strRef>
          </c:tx>
          <c:spPr>
            <a:solidFill>
              <a:srgbClr val="70CD53"/>
            </a:solidFill>
            <a:ln>
              <a:solidFill>
                <a:srgbClr val="70CD53"/>
              </a:solidFill>
            </a:ln>
            <a:effectLst/>
          </c:spPr>
          <c:invertIfNegative val="0"/>
          <c:dLbls>
            <c:dLbl>
              <c:idx val="0"/>
              <c:tx>
                <c:rich>
                  <a:bodyPr/>
                  <a:lstStyle/>
                  <a:p>
                    <a:fld id="{0244350D-9B40-48E0-A6BC-A6884D9DFDA5}"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8802-41EE-BA13-B712C6AADDD6}"/>
                </c:ext>
              </c:extLst>
            </c:dLbl>
            <c:dLbl>
              <c:idx val="1"/>
              <c:tx>
                <c:rich>
                  <a:bodyPr/>
                  <a:lstStyle/>
                  <a:p>
                    <a:fld id="{756F5728-FEB0-4CBB-8CDC-8CFB2B7D1603}"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8802-41EE-BA13-B712C6AADDD6}"/>
                </c:ext>
              </c:extLst>
            </c:dLbl>
            <c:dLbl>
              <c:idx val="2"/>
              <c:tx>
                <c:rich>
                  <a:bodyPr/>
                  <a:lstStyle/>
                  <a:p>
                    <a:fld id="{8999CE01-F8D7-4410-B05B-4B29FF03C73D}"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8802-41EE-BA13-B712C6AADDD6}"/>
                </c:ext>
              </c:extLst>
            </c:dLbl>
            <c:dLbl>
              <c:idx val="3"/>
              <c:tx>
                <c:rich>
                  <a:bodyPr/>
                  <a:lstStyle/>
                  <a:p>
                    <a:fld id="{DD6A95CC-B60A-4A60-9319-BE42D2BF2935}"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8802-41EE-BA13-B712C6AADDD6}"/>
                </c:ext>
              </c:extLst>
            </c:dLbl>
            <c:dLbl>
              <c:idx val="4"/>
              <c:tx>
                <c:rich>
                  <a:bodyPr/>
                  <a:lstStyle/>
                  <a:p>
                    <a:fld id="{5B700004-FF55-4B86-9E6A-67BE701CA5A6}"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8802-41EE-BA13-B712C6AADDD6}"/>
                </c:ext>
              </c:extLst>
            </c:dLbl>
            <c:dLbl>
              <c:idx val="5"/>
              <c:tx>
                <c:rich>
                  <a:bodyPr/>
                  <a:lstStyle/>
                  <a:p>
                    <a:fld id="{B622A080-1EE6-4E11-AE3B-EB6F2A1B54DD}"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8802-41EE-BA13-B712C6AADDD6}"/>
                </c:ext>
              </c:extLst>
            </c:dLbl>
            <c:dLbl>
              <c:idx val="6"/>
              <c:tx>
                <c:rich>
                  <a:bodyPr/>
                  <a:lstStyle/>
                  <a:p>
                    <a:fld id="{6852D027-F029-4BDB-983F-B2AF846EDFD1}"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8802-41EE-BA13-B712C6AADDD6}"/>
                </c:ext>
              </c:extLst>
            </c:dLbl>
            <c:dLbl>
              <c:idx val="7"/>
              <c:tx>
                <c:rich>
                  <a:bodyPr/>
                  <a:lstStyle/>
                  <a:p>
                    <a:fld id="{F404CE86-043C-4777-923C-68FFEA1D61B5}"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8802-41EE-BA13-B712C6AADDD6}"/>
                </c:ext>
              </c:extLst>
            </c:dLbl>
            <c:dLbl>
              <c:idx val="8"/>
              <c:tx>
                <c:rich>
                  <a:bodyPr/>
                  <a:lstStyle/>
                  <a:p>
                    <a:fld id="{C25E0608-D9C3-4CFE-8B0E-1929042FB75F}"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8802-41EE-BA13-B712C6AADDD6}"/>
                </c:ext>
              </c:extLst>
            </c:dLbl>
            <c:dLbl>
              <c:idx val="9"/>
              <c:tx>
                <c:rich>
                  <a:bodyPr/>
                  <a:lstStyle/>
                  <a:p>
                    <a:fld id="{272CF3E3-E80C-4640-8917-3EC7F5EEA7D5}"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8802-41EE-BA13-B712C6AADDD6}"/>
                </c:ext>
              </c:extLst>
            </c:dLbl>
            <c:dLbl>
              <c:idx val="10"/>
              <c:tx>
                <c:rich>
                  <a:bodyPr/>
                  <a:lstStyle/>
                  <a:p>
                    <a:fld id="{FC458C38-054C-4EAA-9137-D4DC4303B2DD}"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8802-41EE-BA13-B712C6AADDD6}"/>
                </c:ext>
              </c:extLst>
            </c:dLbl>
            <c:dLbl>
              <c:idx val="11"/>
              <c:tx>
                <c:rich>
                  <a:bodyPr/>
                  <a:lstStyle/>
                  <a:p>
                    <a:fld id="{AE7EFC88-95A3-4878-A2CB-ACA5B862B264}"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8802-41EE-BA13-B712C6AADDD6}"/>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calculation!$AV$12:$AV$23</c:f>
              <c:numCache>
                <c:formatCode>yyyy\-mm\-dd;@</c:formatCode>
                <c:ptCount val="12"/>
                <c:pt idx="0">
                  <c:v>45292</c:v>
                </c:pt>
                <c:pt idx="1">
                  <c:v>45323</c:v>
                </c:pt>
                <c:pt idx="2">
                  <c:v>45352</c:v>
                </c:pt>
                <c:pt idx="3">
                  <c:v>45383</c:v>
                </c:pt>
                <c:pt idx="4">
                  <c:v>45413</c:v>
                </c:pt>
                <c:pt idx="5">
                  <c:v>45444</c:v>
                </c:pt>
                <c:pt idx="6">
                  <c:v>45474</c:v>
                </c:pt>
                <c:pt idx="7">
                  <c:v>45505</c:v>
                </c:pt>
                <c:pt idx="8">
                  <c:v>45536</c:v>
                </c:pt>
                <c:pt idx="9">
                  <c:v>45566</c:v>
                </c:pt>
                <c:pt idx="10">
                  <c:v>45597</c:v>
                </c:pt>
                <c:pt idx="11">
                  <c:v>45627</c:v>
                </c:pt>
              </c:numCache>
            </c:numRef>
          </c:cat>
          <c:val>
            <c:numRef>
              <c:f>calculation!$AW$12:$AW$23</c:f>
              <c:numCache>
                <c:formatCode>General</c:formatCode>
                <c:ptCount val="12"/>
                <c:pt idx="0">
                  <c:v>0</c:v>
                </c:pt>
                <c:pt idx="1">
                  <c:v>0</c:v>
                </c:pt>
                <c:pt idx="2">
                  <c:v>0</c:v>
                </c:pt>
                <c:pt idx="3">
                  <c:v>1</c:v>
                </c:pt>
                <c:pt idx="4">
                  <c:v>4</c:v>
                </c:pt>
                <c:pt idx="5">
                  <c:v>2</c:v>
                </c:pt>
                <c:pt idx="6">
                  <c:v>0</c:v>
                </c:pt>
                <c:pt idx="7">
                  <c:v>0</c:v>
                </c:pt>
                <c:pt idx="8">
                  <c:v>2</c:v>
                </c:pt>
                <c:pt idx="9">
                  <c:v>0</c:v>
                </c:pt>
                <c:pt idx="10">
                  <c:v>2</c:v>
                </c:pt>
                <c:pt idx="11">
                  <c:v>2</c:v>
                </c:pt>
              </c:numCache>
            </c:numRef>
          </c:val>
          <c:extLst>
            <c:ext xmlns:c15="http://schemas.microsoft.com/office/drawing/2012/chart" uri="{02D57815-91ED-43cb-92C2-25804820EDAC}">
              <c15:datalabelsRange>
                <c15:f>calculation!$BB$12:$BB$23</c15:f>
                <c15:dlblRangeCache>
                  <c:ptCount val="12"/>
                  <c:pt idx="3">
                    <c:v>50%</c:v>
                  </c:pt>
                  <c:pt idx="4">
                    <c:v>67%</c:v>
                  </c:pt>
                  <c:pt idx="5">
                    <c:v>40%</c:v>
                  </c:pt>
                  <c:pt idx="8">
                    <c:v>33%</c:v>
                  </c:pt>
                  <c:pt idx="10">
                    <c:v>29%</c:v>
                  </c:pt>
                  <c:pt idx="11">
                    <c:v>100%</c:v>
                  </c:pt>
                </c15:dlblRangeCache>
              </c15:datalabelsRange>
            </c:ext>
            <c:ext xmlns:c16="http://schemas.microsoft.com/office/drawing/2014/chart" uri="{C3380CC4-5D6E-409C-BE32-E72D297353CC}">
              <c16:uniqueId val="{0000000C-8802-41EE-BA13-B712C6AADDD6}"/>
            </c:ext>
          </c:extLst>
        </c:ser>
        <c:ser>
          <c:idx val="2"/>
          <c:order val="1"/>
          <c:tx>
            <c:strRef>
              <c:f>calculation!$AX$11</c:f>
              <c:strCache>
                <c:ptCount val="1"/>
                <c:pt idx="0">
                  <c:v>neutral</c:v>
                </c:pt>
              </c:strCache>
            </c:strRef>
          </c:tx>
          <c:spPr>
            <a:solidFill>
              <a:srgbClr val="F8F200"/>
            </a:solidFill>
            <a:ln>
              <a:solidFill>
                <a:srgbClr val="F8F200"/>
              </a:solidFill>
            </a:ln>
            <a:effectLst/>
          </c:spPr>
          <c:invertIfNegative val="0"/>
          <c:dLbls>
            <c:dLbl>
              <c:idx val="0"/>
              <c:tx>
                <c:rich>
                  <a:bodyPr/>
                  <a:lstStyle/>
                  <a:p>
                    <a:fld id="{838A520D-B239-42F2-8886-C20BFD6905A0}"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D-8802-41EE-BA13-B712C6AADDD6}"/>
                </c:ext>
              </c:extLst>
            </c:dLbl>
            <c:dLbl>
              <c:idx val="1"/>
              <c:tx>
                <c:rich>
                  <a:bodyPr/>
                  <a:lstStyle/>
                  <a:p>
                    <a:fld id="{722B4A0E-309A-436D-8910-BBC05F7CC868}"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8802-41EE-BA13-B712C6AADDD6}"/>
                </c:ext>
              </c:extLst>
            </c:dLbl>
            <c:dLbl>
              <c:idx val="2"/>
              <c:tx>
                <c:rich>
                  <a:bodyPr/>
                  <a:lstStyle/>
                  <a:p>
                    <a:fld id="{6714C88E-F11A-47A4-BA14-94F557EBD348}"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8802-41EE-BA13-B712C6AADDD6}"/>
                </c:ext>
              </c:extLst>
            </c:dLbl>
            <c:dLbl>
              <c:idx val="3"/>
              <c:tx>
                <c:rich>
                  <a:bodyPr/>
                  <a:lstStyle/>
                  <a:p>
                    <a:fld id="{2554B1C7-38AF-4EE7-8726-C1DF0DF60EA3}"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8802-41EE-BA13-B712C6AADDD6}"/>
                </c:ext>
              </c:extLst>
            </c:dLbl>
            <c:dLbl>
              <c:idx val="4"/>
              <c:tx>
                <c:rich>
                  <a:bodyPr/>
                  <a:lstStyle/>
                  <a:p>
                    <a:fld id="{6DE30BE4-8043-4822-8DD3-8889219DDE1A}"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8802-41EE-BA13-B712C6AADDD6}"/>
                </c:ext>
              </c:extLst>
            </c:dLbl>
            <c:dLbl>
              <c:idx val="5"/>
              <c:tx>
                <c:rich>
                  <a:bodyPr/>
                  <a:lstStyle/>
                  <a:p>
                    <a:fld id="{178C5133-8B15-4871-A794-97641B0A91F5}"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8802-41EE-BA13-B712C6AADDD6}"/>
                </c:ext>
              </c:extLst>
            </c:dLbl>
            <c:dLbl>
              <c:idx val="6"/>
              <c:tx>
                <c:rich>
                  <a:bodyPr/>
                  <a:lstStyle/>
                  <a:p>
                    <a:fld id="{D3815ED2-ADCA-4E1B-97EA-CBAC8BB1B2F2}"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8802-41EE-BA13-B712C6AADDD6}"/>
                </c:ext>
              </c:extLst>
            </c:dLbl>
            <c:dLbl>
              <c:idx val="7"/>
              <c:tx>
                <c:rich>
                  <a:bodyPr/>
                  <a:lstStyle/>
                  <a:p>
                    <a:fld id="{354A9A09-8C27-4BA8-AD00-66DD009DE5C3}"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8802-41EE-BA13-B712C6AADDD6}"/>
                </c:ext>
              </c:extLst>
            </c:dLbl>
            <c:dLbl>
              <c:idx val="8"/>
              <c:tx>
                <c:rich>
                  <a:bodyPr/>
                  <a:lstStyle/>
                  <a:p>
                    <a:fld id="{1210AD05-C1E7-49AA-88B8-F94119AAB2AA}"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8802-41EE-BA13-B712C6AADDD6}"/>
                </c:ext>
              </c:extLst>
            </c:dLbl>
            <c:dLbl>
              <c:idx val="9"/>
              <c:tx>
                <c:rich>
                  <a:bodyPr/>
                  <a:lstStyle/>
                  <a:p>
                    <a:fld id="{401003C8-4422-4A80-BEDF-1534BDFD379B}"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8802-41EE-BA13-B712C6AADDD6}"/>
                </c:ext>
              </c:extLst>
            </c:dLbl>
            <c:dLbl>
              <c:idx val="10"/>
              <c:tx>
                <c:rich>
                  <a:bodyPr/>
                  <a:lstStyle/>
                  <a:p>
                    <a:fld id="{75917212-2DAB-4365-9F91-24E7A30C570A}"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8802-41EE-BA13-B712C6AADDD6}"/>
                </c:ext>
              </c:extLst>
            </c:dLbl>
            <c:dLbl>
              <c:idx val="11"/>
              <c:tx>
                <c:rich>
                  <a:bodyPr/>
                  <a:lstStyle/>
                  <a:p>
                    <a:fld id="{F67A3B91-7BEB-481B-8B64-5671C609CF87}"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8802-41EE-BA13-B712C6AADDD6}"/>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calculation!$AV$12:$AV$23</c:f>
              <c:numCache>
                <c:formatCode>yyyy\-mm\-dd;@</c:formatCode>
                <c:ptCount val="12"/>
                <c:pt idx="0">
                  <c:v>45292</c:v>
                </c:pt>
                <c:pt idx="1">
                  <c:v>45323</c:v>
                </c:pt>
                <c:pt idx="2">
                  <c:v>45352</c:v>
                </c:pt>
                <c:pt idx="3">
                  <c:v>45383</c:v>
                </c:pt>
                <c:pt idx="4">
                  <c:v>45413</c:v>
                </c:pt>
                <c:pt idx="5">
                  <c:v>45444</c:v>
                </c:pt>
                <c:pt idx="6">
                  <c:v>45474</c:v>
                </c:pt>
                <c:pt idx="7">
                  <c:v>45505</c:v>
                </c:pt>
                <c:pt idx="8">
                  <c:v>45536</c:v>
                </c:pt>
                <c:pt idx="9">
                  <c:v>45566</c:v>
                </c:pt>
                <c:pt idx="10">
                  <c:v>45597</c:v>
                </c:pt>
                <c:pt idx="11">
                  <c:v>45627</c:v>
                </c:pt>
              </c:numCache>
            </c:numRef>
          </c:cat>
          <c:val>
            <c:numRef>
              <c:f>calculation!$AX$12:$AX$23</c:f>
              <c:numCache>
                <c:formatCode>General</c:formatCode>
                <c:ptCount val="12"/>
                <c:pt idx="0">
                  <c:v>0</c:v>
                </c:pt>
                <c:pt idx="1">
                  <c:v>1</c:v>
                </c:pt>
                <c:pt idx="2">
                  <c:v>1</c:v>
                </c:pt>
                <c:pt idx="3">
                  <c:v>0</c:v>
                </c:pt>
                <c:pt idx="4">
                  <c:v>1</c:v>
                </c:pt>
                <c:pt idx="5">
                  <c:v>2</c:v>
                </c:pt>
                <c:pt idx="6">
                  <c:v>0</c:v>
                </c:pt>
                <c:pt idx="7">
                  <c:v>0</c:v>
                </c:pt>
                <c:pt idx="8">
                  <c:v>0</c:v>
                </c:pt>
                <c:pt idx="9">
                  <c:v>2</c:v>
                </c:pt>
                <c:pt idx="10">
                  <c:v>4</c:v>
                </c:pt>
                <c:pt idx="11">
                  <c:v>0</c:v>
                </c:pt>
              </c:numCache>
            </c:numRef>
          </c:val>
          <c:extLst>
            <c:ext xmlns:c15="http://schemas.microsoft.com/office/drawing/2012/chart" uri="{02D57815-91ED-43cb-92C2-25804820EDAC}">
              <c15:datalabelsRange>
                <c15:f>calculation!$BC$12:$BC$23</c15:f>
                <c15:dlblRangeCache>
                  <c:ptCount val="12"/>
                  <c:pt idx="1">
                    <c:v>50%</c:v>
                  </c:pt>
                  <c:pt idx="2">
                    <c:v>13%</c:v>
                  </c:pt>
                  <c:pt idx="4">
                    <c:v>17%</c:v>
                  </c:pt>
                  <c:pt idx="5">
                    <c:v>40%</c:v>
                  </c:pt>
                  <c:pt idx="9">
                    <c:v>29%</c:v>
                  </c:pt>
                  <c:pt idx="10">
                    <c:v>57%</c:v>
                  </c:pt>
                </c15:dlblRangeCache>
              </c15:datalabelsRange>
            </c:ext>
            <c:ext xmlns:c16="http://schemas.microsoft.com/office/drawing/2014/chart" uri="{C3380CC4-5D6E-409C-BE32-E72D297353CC}">
              <c16:uniqueId val="{00000019-8802-41EE-BA13-B712C6AADDD6}"/>
            </c:ext>
          </c:extLst>
        </c:ser>
        <c:ser>
          <c:idx val="3"/>
          <c:order val="2"/>
          <c:tx>
            <c:strRef>
              <c:f>calculation!$AY$11</c:f>
              <c:strCache>
                <c:ptCount val="1"/>
                <c:pt idx="0">
                  <c:v>negative</c:v>
                </c:pt>
              </c:strCache>
            </c:strRef>
          </c:tx>
          <c:spPr>
            <a:solidFill>
              <a:srgbClr val="F60000"/>
            </a:solidFill>
            <a:ln>
              <a:noFill/>
            </a:ln>
            <a:effectLst/>
          </c:spPr>
          <c:invertIfNegative val="0"/>
          <c:dLbls>
            <c:dLbl>
              <c:idx val="0"/>
              <c:tx>
                <c:rich>
                  <a:bodyPr/>
                  <a:lstStyle/>
                  <a:p>
                    <a:fld id="{E012BC57-048A-4C10-8C2B-6229958EC0DB}"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A-8802-41EE-BA13-B712C6AADDD6}"/>
                </c:ext>
              </c:extLst>
            </c:dLbl>
            <c:dLbl>
              <c:idx val="1"/>
              <c:tx>
                <c:rich>
                  <a:bodyPr/>
                  <a:lstStyle/>
                  <a:p>
                    <a:fld id="{F6A4D7F5-6EB1-42C5-8972-AA621308EDE6}"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8802-41EE-BA13-B712C6AADDD6}"/>
                </c:ext>
              </c:extLst>
            </c:dLbl>
            <c:dLbl>
              <c:idx val="2"/>
              <c:tx>
                <c:rich>
                  <a:bodyPr/>
                  <a:lstStyle/>
                  <a:p>
                    <a:fld id="{CC685219-37D9-4A5C-90DB-585085881FD1}"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8802-41EE-BA13-B712C6AADDD6}"/>
                </c:ext>
              </c:extLst>
            </c:dLbl>
            <c:dLbl>
              <c:idx val="3"/>
              <c:tx>
                <c:rich>
                  <a:bodyPr/>
                  <a:lstStyle/>
                  <a:p>
                    <a:fld id="{BB89AC9A-C612-47CA-A6D0-1CC944F6C4B5}"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8802-41EE-BA13-B712C6AADDD6}"/>
                </c:ext>
              </c:extLst>
            </c:dLbl>
            <c:dLbl>
              <c:idx val="4"/>
              <c:tx>
                <c:rich>
                  <a:bodyPr/>
                  <a:lstStyle/>
                  <a:p>
                    <a:fld id="{56E00ADB-A1E6-4D3D-A322-C21AD8D738F9}"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8802-41EE-BA13-B712C6AADDD6}"/>
                </c:ext>
              </c:extLst>
            </c:dLbl>
            <c:dLbl>
              <c:idx val="5"/>
              <c:tx>
                <c:rich>
                  <a:bodyPr/>
                  <a:lstStyle/>
                  <a:p>
                    <a:fld id="{71266CFA-13E2-4153-807E-AD77F13A7328}"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8802-41EE-BA13-B712C6AADDD6}"/>
                </c:ext>
              </c:extLst>
            </c:dLbl>
            <c:dLbl>
              <c:idx val="6"/>
              <c:tx>
                <c:rich>
                  <a:bodyPr/>
                  <a:lstStyle/>
                  <a:p>
                    <a:fld id="{4C73E637-D747-496A-9FF5-6B92200F5A12}"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8802-41EE-BA13-B712C6AADDD6}"/>
                </c:ext>
              </c:extLst>
            </c:dLbl>
            <c:dLbl>
              <c:idx val="7"/>
              <c:tx>
                <c:rich>
                  <a:bodyPr/>
                  <a:lstStyle/>
                  <a:p>
                    <a:fld id="{213B532A-E35D-41E9-B3D4-B976EF280F56}"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8802-41EE-BA13-B712C6AADDD6}"/>
                </c:ext>
              </c:extLst>
            </c:dLbl>
            <c:dLbl>
              <c:idx val="8"/>
              <c:tx>
                <c:rich>
                  <a:bodyPr/>
                  <a:lstStyle/>
                  <a:p>
                    <a:fld id="{8E0DE850-7E68-400C-82D8-20BD29885FBD}"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8802-41EE-BA13-B712C6AADDD6}"/>
                </c:ext>
              </c:extLst>
            </c:dLbl>
            <c:dLbl>
              <c:idx val="9"/>
              <c:tx>
                <c:rich>
                  <a:bodyPr/>
                  <a:lstStyle/>
                  <a:p>
                    <a:fld id="{3FF757DE-842B-49DD-B19D-4AC2A028E45C}"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8802-41EE-BA13-B712C6AADDD6}"/>
                </c:ext>
              </c:extLst>
            </c:dLbl>
            <c:dLbl>
              <c:idx val="10"/>
              <c:tx>
                <c:rich>
                  <a:bodyPr/>
                  <a:lstStyle/>
                  <a:p>
                    <a:fld id="{B31FE729-104F-4C38-963B-8D110F2C1DBD}"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8802-41EE-BA13-B712C6AADDD6}"/>
                </c:ext>
              </c:extLst>
            </c:dLbl>
            <c:dLbl>
              <c:idx val="11"/>
              <c:tx>
                <c:rich>
                  <a:bodyPr/>
                  <a:lstStyle/>
                  <a:p>
                    <a:fld id="{0DA87334-1005-4901-988A-EFC3CBED79B5}"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8802-41EE-BA13-B712C6AADDD6}"/>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calculation!$AV$12:$AV$23</c:f>
              <c:numCache>
                <c:formatCode>yyyy\-mm\-dd;@</c:formatCode>
                <c:ptCount val="12"/>
                <c:pt idx="0">
                  <c:v>45292</c:v>
                </c:pt>
                <c:pt idx="1">
                  <c:v>45323</c:v>
                </c:pt>
                <c:pt idx="2">
                  <c:v>45352</c:v>
                </c:pt>
                <c:pt idx="3">
                  <c:v>45383</c:v>
                </c:pt>
                <c:pt idx="4">
                  <c:v>45413</c:v>
                </c:pt>
                <c:pt idx="5">
                  <c:v>45444</c:v>
                </c:pt>
                <c:pt idx="6">
                  <c:v>45474</c:v>
                </c:pt>
                <c:pt idx="7">
                  <c:v>45505</c:v>
                </c:pt>
                <c:pt idx="8">
                  <c:v>45536</c:v>
                </c:pt>
                <c:pt idx="9">
                  <c:v>45566</c:v>
                </c:pt>
                <c:pt idx="10">
                  <c:v>45597</c:v>
                </c:pt>
                <c:pt idx="11">
                  <c:v>45627</c:v>
                </c:pt>
              </c:numCache>
            </c:numRef>
          </c:cat>
          <c:val>
            <c:numRef>
              <c:f>calculation!$AY$12:$AY$23</c:f>
              <c:numCache>
                <c:formatCode>General</c:formatCode>
                <c:ptCount val="12"/>
                <c:pt idx="0">
                  <c:v>1</c:v>
                </c:pt>
                <c:pt idx="1">
                  <c:v>1</c:v>
                </c:pt>
                <c:pt idx="2">
                  <c:v>7</c:v>
                </c:pt>
                <c:pt idx="3">
                  <c:v>1</c:v>
                </c:pt>
                <c:pt idx="4">
                  <c:v>1</c:v>
                </c:pt>
                <c:pt idx="5">
                  <c:v>1</c:v>
                </c:pt>
                <c:pt idx="6">
                  <c:v>4</c:v>
                </c:pt>
                <c:pt idx="7">
                  <c:v>3</c:v>
                </c:pt>
                <c:pt idx="8">
                  <c:v>4</c:v>
                </c:pt>
                <c:pt idx="9">
                  <c:v>5</c:v>
                </c:pt>
                <c:pt idx="10">
                  <c:v>1</c:v>
                </c:pt>
                <c:pt idx="11">
                  <c:v>0</c:v>
                </c:pt>
              </c:numCache>
            </c:numRef>
          </c:val>
          <c:extLst>
            <c:ext xmlns:c15="http://schemas.microsoft.com/office/drawing/2012/chart" uri="{02D57815-91ED-43cb-92C2-25804820EDAC}">
              <c15:datalabelsRange>
                <c15:f>calculation!$BD$12:$BD$23</c15:f>
                <c15:dlblRangeCache>
                  <c:ptCount val="12"/>
                  <c:pt idx="0">
                    <c:v>100%</c:v>
                  </c:pt>
                  <c:pt idx="1">
                    <c:v>50%</c:v>
                  </c:pt>
                  <c:pt idx="2">
                    <c:v>88%</c:v>
                  </c:pt>
                  <c:pt idx="3">
                    <c:v>50%</c:v>
                  </c:pt>
                  <c:pt idx="4">
                    <c:v>17%</c:v>
                  </c:pt>
                  <c:pt idx="5">
                    <c:v>20%</c:v>
                  </c:pt>
                  <c:pt idx="6">
                    <c:v>100%</c:v>
                  </c:pt>
                  <c:pt idx="7">
                    <c:v>100%</c:v>
                  </c:pt>
                  <c:pt idx="8">
                    <c:v>67%</c:v>
                  </c:pt>
                  <c:pt idx="9">
                    <c:v>71%</c:v>
                  </c:pt>
                  <c:pt idx="10">
                    <c:v>14%</c:v>
                  </c:pt>
                </c15:dlblRangeCache>
              </c15:datalabelsRange>
            </c:ext>
            <c:ext xmlns:c16="http://schemas.microsoft.com/office/drawing/2014/chart" uri="{C3380CC4-5D6E-409C-BE32-E72D297353CC}">
              <c16:uniqueId val="{00000026-8802-41EE-BA13-B712C6AADDD6}"/>
            </c:ext>
          </c:extLst>
        </c:ser>
        <c:dLbls>
          <c:showLegendKey val="0"/>
          <c:showVal val="0"/>
          <c:showCatName val="0"/>
          <c:showSerName val="0"/>
          <c:showPercent val="0"/>
          <c:showBubbleSize val="0"/>
        </c:dLbls>
        <c:gapWidth val="75"/>
        <c:overlap val="100"/>
        <c:axId val="1105380432"/>
        <c:axId val="1247242688"/>
      </c:barChart>
      <c:lineChart>
        <c:grouping val="standard"/>
        <c:varyColors val="0"/>
        <c:ser>
          <c:idx val="1"/>
          <c:order val="3"/>
          <c:tx>
            <c:strRef>
              <c:f>calculation!$AV$9</c:f>
              <c:strCache>
                <c:ptCount val="1"/>
                <c:pt idx="0">
                  <c:v>Frequency</c:v>
                </c:pt>
              </c:strCache>
            </c:strRef>
          </c:tx>
          <c:spPr>
            <a:ln w="28575" cap="rnd">
              <a:solidFill>
                <a:schemeClr val="bg1">
                  <a:lumMod val="85000"/>
                </a:schemeClr>
              </a:solidFill>
              <a:round/>
            </a:ln>
            <a:effectLst/>
          </c:spPr>
          <c:marker>
            <c:symbol val="circle"/>
            <c:size val="5"/>
            <c:spPr>
              <a:solidFill>
                <a:schemeClr val="bg1">
                  <a:lumMod val="85000"/>
                </a:schemeClr>
              </a:solidFill>
              <a:ln w="9525">
                <a:solidFill>
                  <a:schemeClr val="bg1">
                    <a:lumMod val="85000"/>
                  </a:schemeClr>
                </a:solidFill>
              </a:ln>
              <a:effectLst/>
            </c:spPr>
          </c:marker>
          <c:cat>
            <c:numRef>
              <c:f>calculation!$AV$12:$AV$23</c:f>
              <c:numCache>
                <c:formatCode>yyyy\-mm\-dd;@</c:formatCode>
                <c:ptCount val="12"/>
                <c:pt idx="0">
                  <c:v>45292</c:v>
                </c:pt>
                <c:pt idx="1">
                  <c:v>45323</c:v>
                </c:pt>
                <c:pt idx="2">
                  <c:v>45352</c:v>
                </c:pt>
                <c:pt idx="3">
                  <c:v>45383</c:v>
                </c:pt>
                <c:pt idx="4">
                  <c:v>45413</c:v>
                </c:pt>
                <c:pt idx="5">
                  <c:v>45444</c:v>
                </c:pt>
                <c:pt idx="6">
                  <c:v>45474</c:v>
                </c:pt>
                <c:pt idx="7">
                  <c:v>45505</c:v>
                </c:pt>
                <c:pt idx="8">
                  <c:v>45536</c:v>
                </c:pt>
                <c:pt idx="9">
                  <c:v>45566</c:v>
                </c:pt>
                <c:pt idx="10">
                  <c:v>45597</c:v>
                </c:pt>
                <c:pt idx="11">
                  <c:v>45627</c:v>
                </c:pt>
              </c:numCache>
            </c:numRef>
          </c:cat>
          <c:val>
            <c:numRef>
              <c:f>calculation!$BF$12:$BF$23</c:f>
              <c:numCache>
                <c:formatCode>General</c:formatCode>
                <c:ptCount val="12"/>
              </c:numCache>
            </c:numRef>
          </c:val>
          <c:smooth val="0"/>
          <c:extLst>
            <c:ext xmlns:c16="http://schemas.microsoft.com/office/drawing/2014/chart" uri="{C3380CC4-5D6E-409C-BE32-E72D297353CC}">
              <c16:uniqueId val="{00000027-8802-41EE-BA13-B712C6AADDD6}"/>
            </c:ext>
          </c:extLst>
        </c:ser>
        <c:dLbls>
          <c:showLegendKey val="0"/>
          <c:showVal val="0"/>
          <c:showCatName val="0"/>
          <c:showSerName val="0"/>
          <c:showPercent val="0"/>
          <c:showBubbleSize val="0"/>
        </c:dLbls>
        <c:marker val="1"/>
        <c:smooth val="0"/>
        <c:axId val="1105380432"/>
        <c:axId val="1247242688"/>
      </c:lineChart>
      <c:dateAx>
        <c:axId val="1105380432"/>
        <c:scaling>
          <c:orientation val="minMax"/>
        </c:scaling>
        <c:delete val="0"/>
        <c:axPos val="b"/>
        <c:numFmt formatCode="yyyy\-mm\-dd;@"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7242688"/>
        <c:crosses val="autoZero"/>
        <c:auto val="0"/>
        <c:lblOffset val="100"/>
        <c:baseTimeUnit val="months"/>
      </c:dateAx>
      <c:valAx>
        <c:axId val="1247242688"/>
        <c:scaling>
          <c:orientation val="minMax"/>
        </c:scaling>
        <c:delete val="1"/>
        <c:axPos val="l"/>
        <c:numFmt formatCode="General" sourceLinked="1"/>
        <c:majorTickMark val="out"/>
        <c:minorTickMark val="none"/>
        <c:tickLblPos val="nextTo"/>
        <c:crossAx val="11053804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0"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6" fmlaLink="calculation!$D$4" max="50" min="1" page="10"/>
</file>

<file path=xl/ctrlProps/ctrlProp2.xml><?xml version="1.0" encoding="utf-8"?>
<formControlPr xmlns="http://schemas.microsoft.com/office/spreadsheetml/2009/9/main" objectType="Drop" dropStyle="combo" dx="26" fmlaLink="calculation!$D$3" fmlaRange="calculation!$C$22:$C$28" noThreeD="1" sel="1" val="0"/>
</file>

<file path=xl/ctrlProps/ctrlProp3.xml><?xml version="1.0" encoding="utf-8"?>
<formControlPr xmlns="http://schemas.microsoft.com/office/spreadsheetml/2009/9/main" objectType="Drop" dropStyle="combo" dx="26" fmlaLink="calculation!$D$13" fmlaRange="calculation!$E$22:$E$23" noThreeD="1" sel="1" val="0"/>
</file>

<file path=xl/ctrlProps/ctrlProp4.xml><?xml version="1.0" encoding="utf-8"?>
<formControlPr xmlns="http://schemas.microsoft.com/office/spreadsheetml/2009/9/main" objectType="Drop" dropStyle="combo" dx="26" fmlaLink="calculation!$D$6" fmlaRange="calculation!$H$22:$H$34" noThreeD="1" sel="3"/>
</file>

<file path=xl/ctrlProps/ctrlProp5.xml><?xml version="1.0" encoding="utf-8"?>
<formControlPr xmlns="http://schemas.microsoft.com/office/spreadsheetml/2009/9/main" objectType="Drop" dropStyle="combo" dx="26" fmlaLink="calculation!$D$5" fmlaRange="calculation!$H$36:$H$41" noThreeD="1" sel="6" val="0"/>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1.emf"/><Relationship Id="rId1" Type="http://schemas.openxmlformats.org/officeDocument/2006/relationships/chart" Target="../charts/chart1.xml"/><Relationship Id="rId4" Type="http://schemas.openxmlformats.org/officeDocument/2006/relationships/chart" Target="../charts/chart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16</xdr:col>
      <xdr:colOff>353391</xdr:colOff>
      <xdr:row>10</xdr:row>
      <xdr:rowOff>121479</xdr:rowOff>
    </xdr:from>
    <xdr:to>
      <xdr:col>26</xdr:col>
      <xdr:colOff>408608</xdr:colOff>
      <xdr:row>14</xdr:row>
      <xdr:rowOff>0</xdr:rowOff>
    </xdr:to>
    <xdr:sp macro="" textlink="">
      <xdr:nvSpPr>
        <xdr:cNvPr id="44" name="Rectangle 43">
          <a:extLst>
            <a:ext uri="{FF2B5EF4-FFF2-40B4-BE49-F238E27FC236}">
              <a16:creationId xmlns:a16="http://schemas.microsoft.com/office/drawing/2014/main" id="{A637773D-5456-08F9-9158-F6CDD62388AB}"/>
            </a:ext>
          </a:extLst>
        </xdr:cNvPr>
        <xdr:cNvSpPr/>
      </xdr:nvSpPr>
      <xdr:spPr>
        <a:xfrm>
          <a:off x="11506300" y="2026479"/>
          <a:ext cx="6826626" cy="64052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D" sz="1100" kern="1200"/>
        </a:p>
      </xdr:txBody>
    </xdr:sp>
    <xdr:clientData/>
  </xdr:twoCellAnchor>
  <xdr:twoCellAnchor>
    <xdr:from>
      <xdr:col>16</xdr:col>
      <xdr:colOff>351522</xdr:colOff>
      <xdr:row>3</xdr:row>
      <xdr:rowOff>27708</xdr:rowOff>
    </xdr:from>
    <xdr:to>
      <xdr:col>19</xdr:col>
      <xdr:colOff>461957</xdr:colOff>
      <xdr:row>10</xdr:row>
      <xdr:rowOff>22087</xdr:rowOff>
    </xdr:to>
    <xdr:sp macro="" textlink="">
      <xdr:nvSpPr>
        <xdr:cNvPr id="37" name="Rectangle 36">
          <a:extLst>
            <a:ext uri="{FF2B5EF4-FFF2-40B4-BE49-F238E27FC236}">
              <a16:creationId xmlns:a16="http://schemas.microsoft.com/office/drawing/2014/main" id="{D0D375DE-7E83-E107-1B17-C659AE3032EB}"/>
            </a:ext>
          </a:extLst>
        </xdr:cNvPr>
        <xdr:cNvSpPr/>
      </xdr:nvSpPr>
      <xdr:spPr>
        <a:xfrm>
          <a:off x="11577607" y="575060"/>
          <a:ext cx="2192519" cy="127153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D" sz="1100" kern="1200"/>
        </a:p>
      </xdr:txBody>
    </xdr:sp>
    <xdr:clientData/>
  </xdr:twoCellAnchor>
  <xdr:twoCellAnchor>
    <xdr:from>
      <xdr:col>16</xdr:col>
      <xdr:colOff>333159</xdr:colOff>
      <xdr:row>14</xdr:row>
      <xdr:rowOff>67901</xdr:rowOff>
    </xdr:from>
    <xdr:to>
      <xdr:col>26</xdr:col>
      <xdr:colOff>418386</xdr:colOff>
      <xdr:row>37</xdr:row>
      <xdr:rowOff>59531</xdr:rowOff>
    </xdr:to>
    <xdr:sp macro="" textlink="">
      <xdr:nvSpPr>
        <xdr:cNvPr id="14" name="Rectangle 13">
          <a:extLst>
            <a:ext uri="{FF2B5EF4-FFF2-40B4-BE49-F238E27FC236}">
              <a16:creationId xmlns:a16="http://schemas.microsoft.com/office/drawing/2014/main" id="{A3FC731B-8A18-46DE-B2B9-5F8B86712A19}"/>
            </a:ext>
          </a:extLst>
        </xdr:cNvPr>
        <xdr:cNvSpPr/>
      </xdr:nvSpPr>
      <xdr:spPr>
        <a:xfrm>
          <a:off x="11544367" y="2602871"/>
          <a:ext cx="6890415" cy="415622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D" sz="1100" kern="1200"/>
        </a:p>
      </xdr:txBody>
    </xdr:sp>
    <xdr:clientData/>
  </xdr:twoCellAnchor>
  <xdr:twoCellAnchor>
    <xdr:from>
      <xdr:col>16</xdr:col>
      <xdr:colOff>341252</xdr:colOff>
      <xdr:row>37</xdr:row>
      <xdr:rowOff>166687</xdr:rowOff>
    </xdr:from>
    <xdr:to>
      <xdr:col>26</xdr:col>
      <xdr:colOff>428852</xdr:colOff>
      <xdr:row>56</xdr:row>
      <xdr:rowOff>45268</xdr:rowOff>
    </xdr:to>
    <xdr:sp macro="" textlink="">
      <xdr:nvSpPr>
        <xdr:cNvPr id="13" name="Rectangle 12">
          <a:extLst>
            <a:ext uri="{FF2B5EF4-FFF2-40B4-BE49-F238E27FC236}">
              <a16:creationId xmlns:a16="http://schemas.microsoft.com/office/drawing/2014/main" id="{63FFC2A5-818A-EB96-61DC-5A8B39AA99F1}"/>
            </a:ext>
          </a:extLst>
        </xdr:cNvPr>
        <xdr:cNvSpPr/>
      </xdr:nvSpPr>
      <xdr:spPr>
        <a:xfrm>
          <a:off x="11521221" y="6774656"/>
          <a:ext cx="6862256" cy="327186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D" sz="1100" kern="1200"/>
        </a:p>
      </xdr:txBody>
    </xdr:sp>
    <xdr:clientData/>
  </xdr:twoCellAnchor>
  <xdr:twoCellAnchor>
    <xdr:from>
      <xdr:col>16</xdr:col>
      <xdr:colOff>480328</xdr:colOff>
      <xdr:row>15</xdr:row>
      <xdr:rowOff>76454</xdr:rowOff>
    </xdr:from>
    <xdr:to>
      <xdr:col>25</xdr:col>
      <xdr:colOff>351693</xdr:colOff>
      <xdr:row>36</xdr:row>
      <xdr:rowOff>83344</xdr:rowOff>
    </xdr:to>
    <xdr:graphicFrame macro="">
      <xdr:nvGraphicFramePr>
        <xdr:cNvPr id="5" name="Chart 4">
          <a:extLst>
            <a:ext uri="{FF2B5EF4-FFF2-40B4-BE49-F238E27FC236}">
              <a16:creationId xmlns:a16="http://schemas.microsoft.com/office/drawing/2014/main" id="{8AD920A5-D987-407A-A326-30390E5185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17</xdr:col>
          <xdr:colOff>467465</xdr:colOff>
          <xdr:row>40</xdr:row>
          <xdr:rowOff>99816</xdr:rowOff>
        </xdr:from>
        <xdr:to>
          <xdr:col>26</xdr:col>
          <xdr:colOff>295380</xdr:colOff>
          <xdr:row>55</xdr:row>
          <xdr:rowOff>59532</xdr:rowOff>
        </xdr:to>
        <xdr:pic>
          <xdr:nvPicPr>
            <xdr:cNvPr id="6" name="Picture 5">
              <a:extLst>
                <a:ext uri="{FF2B5EF4-FFF2-40B4-BE49-F238E27FC236}">
                  <a16:creationId xmlns:a16="http://schemas.microsoft.com/office/drawing/2014/main" id="{2B09ABF4-D8E4-40B6-937D-95ADE4C6E5CF}"/>
                </a:ext>
              </a:extLst>
            </xdr:cNvPr>
            <xdr:cNvPicPr>
              <a:picLocks noChangeAspect="1" noChangeArrowheads="1"/>
              <a:extLst>
                <a:ext uri="{84589F7E-364E-4C9E-8A38-B11213B215E9}">
                  <a14:cameraTool cellRange="calculation!$AC$7:$AG$17" spid="_x0000_s7696"/>
                </a:ext>
              </a:extLst>
            </xdr:cNvPicPr>
          </xdr:nvPicPr>
          <xdr:blipFill>
            <a:blip xmlns:r="http://schemas.openxmlformats.org/officeDocument/2006/relationships" r:embed="rId2"/>
            <a:srcRect/>
            <a:stretch>
              <a:fillRect/>
            </a:stretch>
          </xdr:blipFill>
          <xdr:spPr bwMode="auto">
            <a:xfrm>
              <a:off x="12254653" y="7243566"/>
              <a:ext cx="5995352" cy="2638622"/>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25011</xdr:colOff>
          <xdr:row>42</xdr:row>
          <xdr:rowOff>48577</xdr:rowOff>
        </xdr:from>
        <xdr:to>
          <xdr:col>17</xdr:col>
          <xdr:colOff>273649</xdr:colOff>
          <xdr:row>52</xdr:row>
          <xdr:rowOff>150972</xdr:rowOff>
        </xdr:to>
        <xdr:sp macro="" textlink="">
          <xdr:nvSpPr>
            <xdr:cNvPr id="7169" name="Scroll Bar 1" hidden="1">
              <a:extLst>
                <a:ext uri="{63B3BB69-23CF-44E3-9099-C40C66FF867C}">
                  <a14:compatExt spid="_x0000_s7169"/>
                </a:ext>
                <a:ext uri="{FF2B5EF4-FFF2-40B4-BE49-F238E27FC236}">
                  <a16:creationId xmlns:a16="http://schemas.microsoft.com/office/drawing/2014/main" id="{00000000-0008-0000-0000-0000011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18</xdr:col>
      <xdr:colOff>690104</xdr:colOff>
      <xdr:row>38</xdr:row>
      <xdr:rowOff>45720</xdr:rowOff>
    </xdr:from>
    <xdr:to>
      <xdr:col>24</xdr:col>
      <xdr:colOff>8391</xdr:colOff>
      <xdr:row>39</xdr:row>
      <xdr:rowOff>144104</xdr:rowOff>
    </xdr:to>
    <xdr:sp macro="" textlink="calculation!$AA$11">
      <xdr:nvSpPr>
        <xdr:cNvPr id="7" name="TextBox 6">
          <a:extLst>
            <a:ext uri="{FF2B5EF4-FFF2-40B4-BE49-F238E27FC236}">
              <a16:creationId xmlns:a16="http://schemas.microsoft.com/office/drawing/2014/main" id="{5F7E8FF2-80A7-4F51-9163-AD21E8BA143A}"/>
            </a:ext>
          </a:extLst>
        </xdr:cNvPr>
        <xdr:cNvSpPr txBox="1"/>
      </xdr:nvSpPr>
      <xdr:spPr>
        <a:xfrm>
          <a:off x="13084510" y="6832283"/>
          <a:ext cx="3664069" cy="276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3E3F898-96F4-4D15-A77B-015FA901BF62}" type="TxLink">
            <a:rPr lang="en-US" sz="1100" b="0" i="0" u="none" strike="noStrike" kern="1200">
              <a:solidFill>
                <a:srgbClr val="000000"/>
              </a:solidFill>
              <a:latin typeface="Calibri"/>
              <a:ea typeface="Calibri"/>
              <a:cs typeface="Calibri"/>
            </a:rPr>
            <a:t>Table Frequency Sentiment per Aspect Period: February 2024</a:t>
          </a:fld>
          <a:endParaRPr lang="en-ID" sz="1400" kern="1200">
            <a:solidFill>
              <a:schemeClr val="tx1">
                <a:lumMod val="65000"/>
                <a:lumOff val="35000"/>
              </a:schemeClr>
            </a:solidFill>
          </a:endParaRPr>
        </a:p>
      </xdr:txBody>
    </xdr:sp>
    <xdr:clientData/>
  </xdr:twoCellAnchor>
  <xdr:twoCellAnchor>
    <xdr:from>
      <xdr:col>17</xdr:col>
      <xdr:colOff>377544</xdr:colOff>
      <xdr:row>7</xdr:row>
      <xdr:rowOff>24581</xdr:rowOff>
    </xdr:from>
    <xdr:to>
      <xdr:col>19</xdr:col>
      <xdr:colOff>383516</xdr:colOff>
      <xdr:row>9</xdr:row>
      <xdr:rowOff>69709</xdr:rowOff>
    </xdr:to>
    <xdr:sp macro="" textlink="calculation!$H$7">
      <xdr:nvSpPr>
        <xdr:cNvPr id="18" name="TextBox 17">
          <a:extLst>
            <a:ext uri="{FF2B5EF4-FFF2-40B4-BE49-F238E27FC236}">
              <a16:creationId xmlns:a16="http://schemas.microsoft.com/office/drawing/2014/main" id="{5F5EB9CB-50D9-5DFA-A6D7-1D1D269D3CC0}"/>
            </a:ext>
          </a:extLst>
        </xdr:cNvPr>
        <xdr:cNvSpPr txBox="1"/>
      </xdr:nvSpPr>
      <xdr:spPr>
        <a:xfrm>
          <a:off x="12215375" y="1301736"/>
          <a:ext cx="1476310" cy="410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37D9A4EF-DECF-409C-A580-79639A4A6AC2}" type="TxLink">
            <a:rPr lang="en-US" sz="4800" b="0" i="0" u="none" strike="noStrike" kern="1200">
              <a:solidFill>
                <a:srgbClr val="70CD53"/>
              </a:solidFill>
              <a:latin typeface="Calibri"/>
              <a:ea typeface="Calibri"/>
              <a:cs typeface="Calibri"/>
            </a:rPr>
            <a:pPr algn="r"/>
            <a:t>29%</a:t>
          </a:fld>
          <a:endParaRPr lang="en-ID" sz="4800" kern="1200">
            <a:solidFill>
              <a:srgbClr val="70CD53"/>
            </a:solidFill>
          </a:endParaRPr>
        </a:p>
      </xdr:txBody>
    </xdr:sp>
    <xdr:clientData/>
  </xdr:twoCellAnchor>
  <xdr:twoCellAnchor>
    <xdr:from>
      <xdr:col>16</xdr:col>
      <xdr:colOff>441955</xdr:colOff>
      <xdr:row>3</xdr:row>
      <xdr:rowOff>24430</xdr:rowOff>
    </xdr:from>
    <xdr:to>
      <xdr:col>19</xdr:col>
      <xdr:colOff>342204</xdr:colOff>
      <xdr:row>7</xdr:row>
      <xdr:rowOff>33130</xdr:rowOff>
    </xdr:to>
    <xdr:sp macro="" textlink="calculation!$F$7">
      <xdr:nvSpPr>
        <xdr:cNvPr id="20" name="TextBox 19">
          <a:extLst>
            <a:ext uri="{FF2B5EF4-FFF2-40B4-BE49-F238E27FC236}">
              <a16:creationId xmlns:a16="http://schemas.microsoft.com/office/drawing/2014/main" id="{B8929807-4011-0DA4-0529-50ADAB7C3BB2}"/>
            </a:ext>
          </a:extLst>
        </xdr:cNvPr>
        <xdr:cNvSpPr txBox="1"/>
      </xdr:nvSpPr>
      <xdr:spPr>
        <a:xfrm>
          <a:off x="11668040" y="571782"/>
          <a:ext cx="1982333" cy="7385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07153446-8582-4166-B349-F56ED65E3DD3}" type="TxLink">
            <a:rPr lang="en-US" sz="1600" b="0" i="0" u="none" strike="noStrike" kern="1200">
              <a:solidFill>
                <a:sysClr val="windowText" lastClr="000000"/>
              </a:solidFill>
              <a:latin typeface="Calibri"/>
              <a:ea typeface="Calibri"/>
              <a:cs typeface="Calibri"/>
            </a:rPr>
            <a:pPr algn="l"/>
            <a:t>Sentiment Poisitive Rate Period: 2024</a:t>
          </a:fld>
          <a:endParaRPr lang="en-ID" sz="1600" kern="1200">
            <a:solidFill>
              <a:sysClr val="windowText" lastClr="000000"/>
            </a:solidFill>
          </a:endParaRPr>
        </a:p>
      </xdr:txBody>
    </xdr:sp>
    <xdr:clientData/>
  </xdr:twoCellAnchor>
  <xdr:twoCellAnchor>
    <xdr:from>
      <xdr:col>7</xdr:col>
      <xdr:colOff>84667</xdr:colOff>
      <xdr:row>3</xdr:row>
      <xdr:rowOff>24433</xdr:rowOff>
    </xdr:from>
    <xdr:to>
      <xdr:col>16</xdr:col>
      <xdr:colOff>206375</xdr:colOff>
      <xdr:row>10</xdr:row>
      <xdr:rowOff>11722</xdr:rowOff>
    </xdr:to>
    <xdr:sp macro="" textlink="">
      <xdr:nvSpPr>
        <xdr:cNvPr id="26" name="TextBox 25">
          <a:extLst>
            <a:ext uri="{FF2B5EF4-FFF2-40B4-BE49-F238E27FC236}">
              <a16:creationId xmlns:a16="http://schemas.microsoft.com/office/drawing/2014/main" id="{C9BD3709-3BF8-FDD0-25DC-1321CCEB16E2}"/>
            </a:ext>
          </a:extLst>
        </xdr:cNvPr>
        <xdr:cNvSpPr txBox="1"/>
      </xdr:nvSpPr>
      <xdr:spPr>
        <a:xfrm>
          <a:off x="4434417" y="595933"/>
          <a:ext cx="6900333" cy="1320789"/>
        </a:xfrm>
        <a:prstGeom prst="rect">
          <a:avLst/>
        </a:prstGeom>
        <a:solidFill>
          <a:schemeClr val="accent5">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3200" kern="1200"/>
            <a:t>DASHBOARD ASPECT</a:t>
          </a:r>
          <a:r>
            <a:rPr lang="en-ID" sz="3200" kern="1200" baseline="0"/>
            <a:t> BASED SENTIMENT ANALYSIS</a:t>
          </a:r>
          <a:endParaRPr lang="en-ID" sz="3200" kern="1200"/>
        </a:p>
      </xdr:txBody>
    </xdr:sp>
    <xdr:clientData/>
  </xdr:twoCellAnchor>
  <mc:AlternateContent xmlns:mc="http://schemas.openxmlformats.org/markup-compatibility/2006">
    <mc:Choice xmlns:a14="http://schemas.microsoft.com/office/drawing/2010/main" Requires="a14">
      <xdr:twoCellAnchor editAs="oneCell">
        <xdr:from>
          <xdr:col>17</xdr:col>
          <xdr:colOff>64201</xdr:colOff>
          <xdr:row>11</xdr:row>
          <xdr:rowOff>180658</xdr:rowOff>
        </xdr:from>
        <xdr:to>
          <xdr:col>19</xdr:col>
          <xdr:colOff>176696</xdr:colOff>
          <xdr:row>13</xdr:row>
          <xdr:rowOff>121478</xdr:rowOff>
        </xdr:to>
        <xdr:sp macro="" textlink="">
          <xdr:nvSpPr>
            <xdr:cNvPr id="7397" name="Drop Down 229" hidden="1">
              <a:extLst>
                <a:ext uri="{63B3BB69-23CF-44E3-9099-C40C66FF867C}">
                  <a14:compatExt spid="_x0000_s7397"/>
                </a:ext>
                <a:ext uri="{FF2B5EF4-FFF2-40B4-BE49-F238E27FC236}">
                  <a16:creationId xmlns:a16="http://schemas.microsoft.com/office/drawing/2014/main" id="{00000000-0008-0000-0000-0000E51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7</xdr:col>
      <xdr:colOff>108782</xdr:colOff>
      <xdr:row>10</xdr:row>
      <xdr:rowOff>127000</xdr:rowOff>
    </xdr:from>
    <xdr:to>
      <xdr:col>16</xdr:col>
      <xdr:colOff>224853</xdr:colOff>
      <xdr:row>56</xdr:row>
      <xdr:rowOff>39280</xdr:rowOff>
    </xdr:to>
    <xdr:sp macro="" textlink="">
      <xdr:nvSpPr>
        <xdr:cNvPr id="17" name="Rectangle 16">
          <a:extLst>
            <a:ext uri="{FF2B5EF4-FFF2-40B4-BE49-F238E27FC236}">
              <a16:creationId xmlns:a16="http://schemas.microsoft.com/office/drawing/2014/main" id="{FEAF3529-2D2E-4E23-94B4-417109FEA870}"/>
            </a:ext>
          </a:extLst>
        </xdr:cNvPr>
        <xdr:cNvSpPr/>
      </xdr:nvSpPr>
      <xdr:spPr>
        <a:xfrm>
          <a:off x="4458532" y="2032000"/>
          <a:ext cx="6894696" cy="867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D" sz="1100" kern="1200"/>
        </a:p>
      </xdr:txBody>
    </xdr:sp>
    <xdr:clientData/>
  </xdr:twoCellAnchor>
  <xdr:twoCellAnchor>
    <xdr:from>
      <xdr:col>7</xdr:col>
      <xdr:colOff>276239</xdr:colOff>
      <xdr:row>18</xdr:row>
      <xdr:rowOff>141734</xdr:rowOff>
    </xdr:from>
    <xdr:to>
      <xdr:col>16</xdr:col>
      <xdr:colOff>81711</xdr:colOff>
      <xdr:row>55</xdr:row>
      <xdr:rowOff>67104</xdr:rowOff>
    </xdr:to>
    <xdr:grpSp>
      <xdr:nvGrpSpPr>
        <xdr:cNvPr id="19" name="Group 18">
          <a:extLst>
            <a:ext uri="{FF2B5EF4-FFF2-40B4-BE49-F238E27FC236}">
              <a16:creationId xmlns:a16="http://schemas.microsoft.com/office/drawing/2014/main" id="{CF0C9907-09D6-4E5A-BBCE-3A8ECC0240C7}"/>
            </a:ext>
          </a:extLst>
        </xdr:cNvPr>
        <xdr:cNvGrpSpPr/>
      </xdr:nvGrpSpPr>
      <xdr:grpSpPr>
        <a:xfrm>
          <a:off x="4657739" y="3399284"/>
          <a:ext cx="6625372" cy="6621445"/>
          <a:chOff x="38707733" y="18918807"/>
          <a:chExt cx="11023915" cy="7249441"/>
        </a:xfrm>
        <a:solidFill>
          <a:schemeClr val="bg1">
            <a:lumMod val="85000"/>
          </a:schemeClr>
        </a:solidFill>
      </xdr:grpSpPr>
      <xdr:graphicFrame macro="">
        <xdr:nvGraphicFramePr>
          <xdr:cNvPr id="27" name="Chart 26">
            <a:extLst>
              <a:ext uri="{FF2B5EF4-FFF2-40B4-BE49-F238E27FC236}">
                <a16:creationId xmlns:a16="http://schemas.microsoft.com/office/drawing/2014/main" id="{0361A004-5639-7FB6-F5F7-ADEAA72B5091}"/>
              </a:ext>
            </a:extLst>
          </xdr:cNvPr>
          <xdr:cNvGraphicFramePr>
            <a:graphicFrameLocks/>
          </xdr:cNvGraphicFramePr>
        </xdr:nvGraphicFramePr>
        <xdr:xfrm>
          <a:off x="38712300" y="18918807"/>
          <a:ext cx="11017739" cy="2400284"/>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28" name="Chart 27">
            <a:extLst>
              <a:ext uri="{FF2B5EF4-FFF2-40B4-BE49-F238E27FC236}">
                <a16:creationId xmlns:a16="http://schemas.microsoft.com/office/drawing/2014/main" id="{6252763F-F312-D7F6-8C6D-3C71D1AAEAF3}"/>
              </a:ext>
            </a:extLst>
          </xdr:cNvPr>
          <xdr:cNvGraphicFramePr>
            <a:graphicFrameLocks/>
          </xdr:cNvGraphicFramePr>
        </xdr:nvGraphicFramePr>
        <xdr:xfrm>
          <a:off x="38707733" y="21277878"/>
          <a:ext cx="11023915" cy="4890370"/>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mc:AlternateContent xmlns:mc="http://schemas.openxmlformats.org/markup-compatibility/2006">
    <mc:Choice xmlns:a14="http://schemas.microsoft.com/office/drawing/2010/main" Requires="a14">
      <xdr:twoCellAnchor editAs="oneCell">
        <xdr:from>
          <xdr:col>13</xdr:col>
          <xdr:colOff>20320</xdr:colOff>
          <xdr:row>13</xdr:row>
          <xdr:rowOff>54577</xdr:rowOff>
        </xdr:from>
        <xdr:to>
          <xdr:col>15</xdr:col>
          <xdr:colOff>508000</xdr:colOff>
          <xdr:row>14</xdr:row>
          <xdr:rowOff>132080</xdr:rowOff>
        </xdr:to>
        <xdr:sp macro="" textlink="">
          <xdr:nvSpPr>
            <xdr:cNvPr id="7529" name="Drop Down 361" hidden="1">
              <a:extLst>
                <a:ext uri="{63B3BB69-23CF-44E3-9099-C40C66FF867C}">
                  <a14:compatExt spid="_x0000_s7529"/>
                </a:ext>
                <a:ext uri="{FF2B5EF4-FFF2-40B4-BE49-F238E27FC236}">
                  <a16:creationId xmlns:a16="http://schemas.microsoft.com/office/drawing/2014/main" id="{B528BA3A-BAA6-4521-BD66-81F9FBE074F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12</xdr:col>
      <xdr:colOff>1036320</xdr:colOff>
      <xdr:row>11</xdr:row>
      <xdr:rowOff>115146</xdr:rowOff>
    </xdr:from>
    <xdr:to>
      <xdr:col>16</xdr:col>
      <xdr:colOff>117438</xdr:colOff>
      <xdr:row>13</xdr:row>
      <xdr:rowOff>81279</xdr:rowOff>
    </xdr:to>
    <xdr:sp macro="" textlink="">
      <xdr:nvSpPr>
        <xdr:cNvPr id="29" name="TextBox 28">
          <a:extLst>
            <a:ext uri="{FF2B5EF4-FFF2-40B4-BE49-F238E27FC236}">
              <a16:creationId xmlns:a16="http://schemas.microsoft.com/office/drawing/2014/main" id="{651F12BC-7070-4790-83DB-45714F9531E8}"/>
            </a:ext>
          </a:extLst>
        </xdr:cNvPr>
        <xdr:cNvSpPr txBox="1"/>
      </xdr:nvSpPr>
      <xdr:spPr>
        <a:xfrm>
          <a:off x="9316720" y="2126826"/>
          <a:ext cx="2007198" cy="3318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D" sz="1600" kern="1200">
              <a:solidFill>
                <a:schemeClr val="tx1">
                  <a:lumMod val="65000"/>
                  <a:lumOff val="35000"/>
                </a:schemeClr>
              </a:solidFill>
            </a:rPr>
            <a:t>Metric</a:t>
          </a:r>
          <a:endParaRPr lang="en-ID" sz="1200" kern="1200">
            <a:solidFill>
              <a:schemeClr val="tx1">
                <a:lumMod val="65000"/>
                <a:lumOff val="35000"/>
              </a:schemeClr>
            </a:solidFill>
          </a:endParaRPr>
        </a:p>
      </xdr:txBody>
    </xdr:sp>
    <xdr:clientData/>
  </xdr:twoCellAnchor>
  <xdr:twoCellAnchor>
    <xdr:from>
      <xdr:col>7</xdr:col>
      <xdr:colOff>328747</xdr:colOff>
      <xdr:row>11</xdr:row>
      <xdr:rowOff>11368</xdr:rowOff>
    </xdr:from>
    <xdr:to>
      <xdr:col>13</xdr:col>
      <xdr:colOff>4581</xdr:colOff>
      <xdr:row>15</xdr:row>
      <xdr:rowOff>89184</xdr:rowOff>
    </xdr:to>
    <xdr:sp macro="" textlink="calculation!$AV$8">
      <xdr:nvSpPr>
        <xdr:cNvPr id="30" name="TextBox 29">
          <a:extLst>
            <a:ext uri="{FF2B5EF4-FFF2-40B4-BE49-F238E27FC236}">
              <a16:creationId xmlns:a16="http://schemas.microsoft.com/office/drawing/2014/main" id="{6DEF4118-A428-E912-941C-12EE07FDC0F9}"/>
            </a:ext>
          </a:extLst>
        </xdr:cNvPr>
        <xdr:cNvSpPr txBox="1"/>
      </xdr:nvSpPr>
      <xdr:spPr>
        <a:xfrm>
          <a:off x="4678497" y="2106868"/>
          <a:ext cx="4644709" cy="8398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B37E7F75-0201-40BC-BA20-A4D27E19816F}" type="TxLink">
            <a:rPr lang="en-US" sz="1800" b="0" i="0" u="none" strike="noStrike" kern="1200">
              <a:solidFill>
                <a:srgbClr val="000000"/>
              </a:solidFill>
              <a:latin typeface="Calibri"/>
              <a:ea typeface="Calibri"/>
              <a:cs typeface="Calibri"/>
            </a:rPr>
            <a:pPr algn="l"/>
            <a:t>Trend Sentiment Topic: Food and Menu Items (Period: February 2024)</a:t>
          </a:fld>
          <a:endParaRPr lang="en-ID" sz="1800" kern="1200"/>
        </a:p>
      </xdr:txBody>
    </xdr:sp>
    <xdr:clientData/>
  </xdr:twoCellAnchor>
  <mc:AlternateContent xmlns:mc="http://schemas.openxmlformats.org/markup-compatibility/2006">
    <mc:Choice xmlns:a14="http://schemas.microsoft.com/office/drawing/2010/main" Requires="a14">
      <xdr:twoCellAnchor editAs="oneCell">
        <xdr:from>
          <xdr:col>19</xdr:col>
          <xdr:colOff>820345</xdr:colOff>
          <xdr:row>11</xdr:row>
          <xdr:rowOff>179343</xdr:rowOff>
        </xdr:from>
        <xdr:to>
          <xdr:col>22</xdr:col>
          <xdr:colOff>112889</xdr:colOff>
          <xdr:row>13</xdr:row>
          <xdr:rowOff>119944</xdr:rowOff>
        </xdr:to>
        <xdr:sp macro="" textlink="">
          <xdr:nvSpPr>
            <xdr:cNvPr id="7572" name="Drop Down 404" hidden="1">
              <a:extLst>
                <a:ext uri="{63B3BB69-23CF-44E3-9099-C40C66FF867C}">
                  <a14:compatExt spid="_x0000_s7572"/>
                </a:ext>
                <a:ext uri="{FF2B5EF4-FFF2-40B4-BE49-F238E27FC236}">
                  <a16:creationId xmlns:a16="http://schemas.microsoft.com/office/drawing/2014/main" id="{0D7A1894-5DB0-59ED-5680-0D4D8E0902C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19</xdr:col>
      <xdr:colOff>1012919</xdr:colOff>
      <xdr:row>10</xdr:row>
      <xdr:rowOff>98484</xdr:rowOff>
    </xdr:from>
    <xdr:to>
      <xdr:col>22</xdr:col>
      <xdr:colOff>181226</xdr:colOff>
      <xdr:row>12</xdr:row>
      <xdr:rowOff>32957</xdr:rowOff>
    </xdr:to>
    <xdr:sp macro="" textlink="">
      <xdr:nvSpPr>
        <xdr:cNvPr id="34" name="TextBox 33">
          <a:extLst>
            <a:ext uri="{FF2B5EF4-FFF2-40B4-BE49-F238E27FC236}">
              <a16:creationId xmlns:a16="http://schemas.microsoft.com/office/drawing/2014/main" id="{DE3B9BCE-7420-4F65-AF33-E856BFCE1E78}"/>
            </a:ext>
          </a:extLst>
        </xdr:cNvPr>
        <xdr:cNvSpPr txBox="1"/>
      </xdr:nvSpPr>
      <xdr:spPr>
        <a:xfrm>
          <a:off x="14321088" y="1922991"/>
          <a:ext cx="1454307" cy="299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D" sz="1400" kern="1200">
              <a:solidFill>
                <a:schemeClr val="tx1">
                  <a:lumMod val="65000"/>
                  <a:lumOff val="35000"/>
                </a:schemeClr>
              </a:solidFill>
            </a:rPr>
            <a:t>Select Month</a:t>
          </a:r>
        </a:p>
      </xdr:txBody>
    </xdr:sp>
    <xdr:clientData/>
  </xdr:twoCellAnchor>
  <mc:AlternateContent xmlns:mc="http://schemas.openxmlformats.org/markup-compatibility/2006">
    <mc:Choice xmlns:a14="http://schemas.microsoft.com/office/drawing/2010/main" Requires="a14">
      <xdr:twoCellAnchor editAs="oneCell">
        <xdr:from>
          <xdr:col>23</xdr:col>
          <xdr:colOff>32455</xdr:colOff>
          <xdr:row>11</xdr:row>
          <xdr:rowOff>167890</xdr:rowOff>
        </xdr:from>
        <xdr:to>
          <xdr:col>25</xdr:col>
          <xdr:colOff>368439</xdr:colOff>
          <xdr:row>13</xdr:row>
          <xdr:rowOff>108856</xdr:rowOff>
        </xdr:to>
        <xdr:sp macro="" textlink="">
          <xdr:nvSpPr>
            <xdr:cNvPr id="7575" name="Drop Down 407" hidden="1">
              <a:extLst>
                <a:ext uri="{63B3BB69-23CF-44E3-9099-C40C66FF867C}">
                  <a14:compatExt spid="_x0000_s7575"/>
                </a:ext>
                <a:ext uri="{FF2B5EF4-FFF2-40B4-BE49-F238E27FC236}">
                  <a16:creationId xmlns:a16="http://schemas.microsoft.com/office/drawing/2014/main" id="{54CF2299-0066-2CA0-1154-711A101352DC}"/>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23</xdr:col>
      <xdr:colOff>334943</xdr:colOff>
      <xdr:row>10</xdr:row>
      <xdr:rowOff>105002</xdr:rowOff>
    </xdr:from>
    <xdr:to>
      <xdr:col>25</xdr:col>
      <xdr:colOff>558954</xdr:colOff>
      <xdr:row>12</xdr:row>
      <xdr:rowOff>39476</xdr:rowOff>
    </xdr:to>
    <xdr:sp macro="" textlink="">
      <xdr:nvSpPr>
        <xdr:cNvPr id="35" name="TextBox 34">
          <a:extLst>
            <a:ext uri="{FF2B5EF4-FFF2-40B4-BE49-F238E27FC236}">
              <a16:creationId xmlns:a16="http://schemas.microsoft.com/office/drawing/2014/main" id="{3E4D0E28-3AF6-4D3B-945B-839F3C599DBE}"/>
            </a:ext>
          </a:extLst>
        </xdr:cNvPr>
        <xdr:cNvSpPr txBox="1"/>
      </xdr:nvSpPr>
      <xdr:spPr>
        <a:xfrm>
          <a:off x="16521163" y="1947200"/>
          <a:ext cx="1446560" cy="302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D" sz="1400" kern="1200">
              <a:solidFill>
                <a:schemeClr val="tx1">
                  <a:lumMod val="65000"/>
                  <a:lumOff val="35000"/>
                </a:schemeClr>
              </a:solidFill>
            </a:rPr>
            <a:t>Select Year</a:t>
          </a:r>
        </a:p>
      </xdr:txBody>
    </xdr:sp>
    <xdr:clientData/>
  </xdr:twoCellAnchor>
  <xdr:twoCellAnchor>
    <xdr:from>
      <xdr:col>17</xdr:col>
      <xdr:colOff>209189</xdr:colOff>
      <xdr:row>10</xdr:row>
      <xdr:rowOff>119488</xdr:rowOff>
    </xdr:from>
    <xdr:to>
      <xdr:col>19</xdr:col>
      <xdr:colOff>176806</xdr:colOff>
      <xdr:row>12</xdr:row>
      <xdr:rowOff>49866</xdr:rowOff>
    </xdr:to>
    <xdr:sp macro="" textlink="">
      <xdr:nvSpPr>
        <xdr:cNvPr id="36" name="TextBox 35">
          <a:extLst>
            <a:ext uri="{FF2B5EF4-FFF2-40B4-BE49-F238E27FC236}">
              <a16:creationId xmlns:a16="http://schemas.microsoft.com/office/drawing/2014/main" id="{4691C49C-F906-4B01-95A9-C52CE1A6BDD7}"/>
            </a:ext>
          </a:extLst>
        </xdr:cNvPr>
        <xdr:cNvSpPr txBox="1"/>
      </xdr:nvSpPr>
      <xdr:spPr>
        <a:xfrm>
          <a:off x="11992580" y="1996879"/>
          <a:ext cx="1436400" cy="3058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D" sz="1400" kern="1200">
              <a:solidFill>
                <a:schemeClr val="tx1">
                  <a:lumMod val="65000"/>
                  <a:lumOff val="35000"/>
                </a:schemeClr>
              </a:solidFill>
            </a:rPr>
            <a:t>Select Topic</a:t>
          </a:r>
        </a:p>
      </xdr:txBody>
    </xdr:sp>
    <xdr:clientData/>
  </xdr:twoCellAnchor>
  <xdr:twoCellAnchor>
    <xdr:from>
      <xdr:col>19</xdr:col>
      <xdr:colOff>607240</xdr:colOff>
      <xdr:row>3</xdr:row>
      <xdr:rowOff>37692</xdr:rowOff>
    </xdr:from>
    <xdr:to>
      <xdr:col>22</xdr:col>
      <xdr:colOff>519347</xdr:colOff>
      <xdr:row>10</xdr:row>
      <xdr:rowOff>32071</xdr:rowOff>
    </xdr:to>
    <xdr:sp macro="" textlink="">
      <xdr:nvSpPr>
        <xdr:cNvPr id="38" name="Rectangle 37">
          <a:extLst>
            <a:ext uri="{FF2B5EF4-FFF2-40B4-BE49-F238E27FC236}">
              <a16:creationId xmlns:a16="http://schemas.microsoft.com/office/drawing/2014/main" id="{E929B93A-7774-4B0B-B652-B9050BC2F971}"/>
            </a:ext>
          </a:extLst>
        </xdr:cNvPr>
        <xdr:cNvSpPr/>
      </xdr:nvSpPr>
      <xdr:spPr>
        <a:xfrm>
          <a:off x="13822199" y="601363"/>
          <a:ext cx="2177230" cy="130961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D" sz="1100" kern="1200"/>
        </a:p>
      </xdr:txBody>
    </xdr:sp>
    <xdr:clientData/>
  </xdr:twoCellAnchor>
  <xdr:twoCellAnchor>
    <xdr:from>
      <xdr:col>20</xdr:col>
      <xdr:colOff>184413</xdr:colOff>
      <xdr:row>7</xdr:row>
      <xdr:rowOff>34565</xdr:rowOff>
    </xdr:from>
    <xdr:to>
      <xdr:col>22</xdr:col>
      <xdr:colOff>440906</xdr:colOff>
      <xdr:row>9</xdr:row>
      <xdr:rowOff>79693</xdr:rowOff>
    </xdr:to>
    <xdr:sp macro="" textlink="calculation!$H$8">
      <xdr:nvSpPr>
        <xdr:cNvPr id="39" name="TextBox 38">
          <a:extLst>
            <a:ext uri="{FF2B5EF4-FFF2-40B4-BE49-F238E27FC236}">
              <a16:creationId xmlns:a16="http://schemas.microsoft.com/office/drawing/2014/main" id="{D45862DC-5609-4A65-B505-2C565B3A169C}"/>
            </a:ext>
          </a:extLst>
        </xdr:cNvPr>
        <xdr:cNvSpPr txBox="1"/>
      </xdr:nvSpPr>
      <xdr:spPr>
        <a:xfrm>
          <a:off x="14536809" y="1324103"/>
          <a:ext cx="1479042" cy="4135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479435CA-716C-4C04-8248-BF6A5DD01499}" type="TxLink">
            <a:rPr lang="en-US" sz="4800" b="0" i="0" u="none" strike="noStrike" kern="1200">
              <a:solidFill>
                <a:srgbClr val="F60000"/>
              </a:solidFill>
              <a:latin typeface="Calibri"/>
              <a:ea typeface="Calibri"/>
              <a:cs typeface="Calibri"/>
            </a:rPr>
            <a:t>54%</a:t>
          </a:fld>
          <a:endParaRPr lang="en-ID" sz="23900" kern="1200">
            <a:solidFill>
              <a:srgbClr val="F60000"/>
            </a:solidFill>
          </a:endParaRPr>
        </a:p>
      </xdr:txBody>
    </xdr:sp>
    <xdr:clientData/>
  </xdr:twoCellAnchor>
  <xdr:twoCellAnchor>
    <xdr:from>
      <xdr:col>19</xdr:col>
      <xdr:colOff>697673</xdr:colOff>
      <xdr:row>3</xdr:row>
      <xdr:rowOff>34414</xdr:rowOff>
    </xdr:from>
    <xdr:to>
      <xdr:col>22</xdr:col>
      <xdr:colOff>399594</xdr:colOff>
      <xdr:row>7</xdr:row>
      <xdr:rowOff>43114</xdr:rowOff>
    </xdr:to>
    <xdr:sp macro="" textlink="calculation!$F$8">
      <xdr:nvSpPr>
        <xdr:cNvPr id="40" name="TextBox 39">
          <a:extLst>
            <a:ext uri="{FF2B5EF4-FFF2-40B4-BE49-F238E27FC236}">
              <a16:creationId xmlns:a16="http://schemas.microsoft.com/office/drawing/2014/main" id="{3336822E-E6C5-4979-A29D-D3E9DB540D8E}"/>
            </a:ext>
          </a:extLst>
        </xdr:cNvPr>
        <xdr:cNvSpPr txBox="1"/>
      </xdr:nvSpPr>
      <xdr:spPr>
        <a:xfrm>
          <a:off x="13912632" y="598085"/>
          <a:ext cx="1967044" cy="7602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A25CF5E7-EADF-4F78-9AFA-6A823C8BF4E8}" type="TxLink">
            <a:rPr lang="en-US" sz="1600" b="0" i="0" u="none" strike="noStrike" kern="1200">
              <a:solidFill>
                <a:srgbClr val="000000"/>
              </a:solidFill>
              <a:latin typeface="Calibri"/>
              <a:ea typeface="Calibri"/>
              <a:cs typeface="Calibri"/>
            </a:rPr>
            <a:t>Sentiment Negative Rate Period: 2024</a:t>
          </a:fld>
          <a:endParaRPr lang="en-ID" sz="2400" kern="1200"/>
        </a:p>
      </xdr:txBody>
    </xdr:sp>
    <xdr:clientData/>
  </xdr:twoCellAnchor>
  <xdr:twoCellAnchor>
    <xdr:from>
      <xdr:col>23</xdr:col>
      <xdr:colOff>61897</xdr:colOff>
      <xdr:row>3</xdr:row>
      <xdr:rowOff>34294</xdr:rowOff>
    </xdr:from>
    <xdr:to>
      <xdr:col>26</xdr:col>
      <xdr:colOff>425888</xdr:colOff>
      <xdr:row>10</xdr:row>
      <xdr:rowOff>28673</xdr:rowOff>
    </xdr:to>
    <xdr:sp macro="" textlink="">
      <xdr:nvSpPr>
        <xdr:cNvPr id="41" name="Rectangle 40">
          <a:extLst>
            <a:ext uri="{FF2B5EF4-FFF2-40B4-BE49-F238E27FC236}">
              <a16:creationId xmlns:a16="http://schemas.microsoft.com/office/drawing/2014/main" id="{F7163A6A-8FF2-4088-A47F-2B5D6F6AE9C1}"/>
            </a:ext>
          </a:extLst>
        </xdr:cNvPr>
        <xdr:cNvSpPr/>
      </xdr:nvSpPr>
      <xdr:spPr>
        <a:xfrm>
          <a:off x="16267688" y="592503"/>
          <a:ext cx="2198107" cy="129686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D" sz="1100" kern="1200"/>
        </a:p>
      </xdr:txBody>
    </xdr:sp>
    <xdr:clientData/>
  </xdr:twoCellAnchor>
  <xdr:twoCellAnchor>
    <xdr:from>
      <xdr:col>24</xdr:col>
      <xdr:colOff>90953</xdr:colOff>
      <xdr:row>7</xdr:row>
      <xdr:rowOff>31167</xdr:rowOff>
    </xdr:from>
    <xdr:to>
      <xdr:col>26</xdr:col>
      <xdr:colOff>347447</xdr:colOff>
      <xdr:row>9</xdr:row>
      <xdr:rowOff>76295</xdr:rowOff>
    </xdr:to>
    <xdr:sp macro="" textlink="calculation!$H$9">
      <xdr:nvSpPr>
        <xdr:cNvPr id="42" name="TextBox 41">
          <a:extLst>
            <a:ext uri="{FF2B5EF4-FFF2-40B4-BE49-F238E27FC236}">
              <a16:creationId xmlns:a16="http://schemas.microsoft.com/office/drawing/2014/main" id="{9721534C-68F7-43D0-AF72-FFDD17CB1F0E}"/>
            </a:ext>
          </a:extLst>
        </xdr:cNvPr>
        <xdr:cNvSpPr txBox="1"/>
      </xdr:nvSpPr>
      <xdr:spPr>
        <a:xfrm>
          <a:off x="16908116" y="1333655"/>
          <a:ext cx="1479238" cy="4172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9112779E-837F-46A8-8190-6438C05B52C9}" type="TxLink">
            <a:rPr lang="en-US" sz="4800" b="0" i="0" u="none" strike="noStrike" kern="1200">
              <a:solidFill>
                <a:schemeClr val="bg1">
                  <a:lumMod val="65000"/>
                </a:schemeClr>
              </a:solidFill>
              <a:latin typeface="Calibri"/>
              <a:ea typeface="Calibri"/>
              <a:cs typeface="Calibri"/>
            </a:rPr>
            <a:t>16%</a:t>
          </a:fld>
          <a:endParaRPr lang="en-ID" sz="213200" kern="1200">
            <a:solidFill>
              <a:schemeClr val="bg1">
                <a:lumMod val="65000"/>
              </a:schemeClr>
            </a:solidFill>
          </a:endParaRPr>
        </a:p>
      </xdr:txBody>
    </xdr:sp>
    <xdr:clientData/>
  </xdr:twoCellAnchor>
  <xdr:twoCellAnchor>
    <xdr:from>
      <xdr:col>23</xdr:col>
      <xdr:colOff>152330</xdr:colOff>
      <xdr:row>3</xdr:row>
      <xdr:rowOff>31016</xdr:rowOff>
    </xdr:from>
    <xdr:to>
      <xdr:col>26</xdr:col>
      <xdr:colOff>306135</xdr:colOff>
      <xdr:row>7</xdr:row>
      <xdr:rowOff>39716</xdr:rowOff>
    </xdr:to>
    <xdr:sp macro="" textlink="calculation!$F$9">
      <xdr:nvSpPr>
        <xdr:cNvPr id="43" name="TextBox 42">
          <a:extLst>
            <a:ext uri="{FF2B5EF4-FFF2-40B4-BE49-F238E27FC236}">
              <a16:creationId xmlns:a16="http://schemas.microsoft.com/office/drawing/2014/main" id="{AF43C3D8-1930-4250-A0BF-3038A3D21EE3}"/>
            </a:ext>
          </a:extLst>
        </xdr:cNvPr>
        <xdr:cNvSpPr txBox="1"/>
      </xdr:nvSpPr>
      <xdr:spPr>
        <a:xfrm>
          <a:off x="16358121" y="589225"/>
          <a:ext cx="1987921" cy="7529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DE94C49B-D677-4F87-8FA3-6A1C587CC6FE}" type="TxLink">
            <a:rPr lang="en-US" sz="1600" b="0" i="0" u="none" strike="noStrike" kern="1200">
              <a:solidFill>
                <a:srgbClr val="000000"/>
              </a:solidFill>
              <a:latin typeface="Calibri"/>
              <a:ea typeface="Calibri"/>
              <a:cs typeface="Calibri"/>
            </a:rPr>
            <a:t>Sentiment Neutral Rate Period: 2024</a:t>
          </a:fld>
          <a:endParaRPr lang="en-ID" sz="3600" kern="12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F7AB1E2-F3A3-4AC5-9B6D-8CB209A7356A}" name="TableAspect" displayName="TableAspect" ref="A2:H212" totalsRowShown="0" headerRowDxfId="13" headerRowBorderDxfId="14" tableBorderDxfId="15">
  <autoFilter ref="A2:H212" xr:uid="{4F7AB1E2-F3A3-4AC5-9B6D-8CB209A7356A}"/>
  <tableColumns count="8">
    <tableColumn id="1" xr3:uid="{F8CDAA91-2D6C-42D5-9A3E-CEF605E1512E}" name="aspect"/>
    <tableColumn id="2" xr3:uid="{1FA65CEF-28E9-46D9-9791-07A67A66825D}" name="review_time" dataDxfId="5"/>
    <tableColumn id="3" xr3:uid="{5D71157F-1DFD-4326-8CAA-8532881F04A4}" name="year" dataDxfId="4"/>
    <tableColumn id="4" xr3:uid="{8BF31747-FA18-4DD1-9FA4-83110CC1DD48}" name="month" dataDxfId="3"/>
    <tableColumn id="5" xr3:uid="{1B7102F2-C23D-4E9D-BE59-F205AC03A5D8}" name="negative"/>
    <tableColumn id="6" xr3:uid="{CBDBF239-2AED-4489-AFA9-586C30CDBDDE}" name="neutral"/>
    <tableColumn id="7" xr3:uid="{72E1033D-844F-490F-A945-C784D7B42292}" name="positive"/>
    <tableColumn id="8" xr3:uid="{1380E72F-B779-4DB0-A1BA-9C58BBE2A50A}" name="total"/>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71A3722-DAB4-47DA-80A0-BF9B31CD9604}" name="TableTopicAspect" displayName="TableTopicAspect" ref="L2:R53" totalsRowShown="0">
  <autoFilter ref="L2:R53" xr:uid="{B71A3722-DAB4-47DA-80A0-BF9B31CD9604}"/>
  <tableColumns count="7">
    <tableColumn id="1" xr3:uid="{F55FB0F0-F43E-4F23-A69B-6D2D667EF20D}" name="Food and Menu Items"/>
    <tableColumn id="2" xr3:uid="{61827478-70D0-4C39-BE15-12408E526A50}" name="Condiments"/>
    <tableColumn id="3" xr3:uid="{1AB5CCA6-E991-4A49-BCB5-F9D01B90FAD5}" name="Packaging"/>
    <tableColumn id="4" xr3:uid="{CCCB7E67-5F64-49FB-BEDA-BCA562D7A340}" name="Pricing and Value"/>
    <tableColumn id="5" xr3:uid="{B7BA8899-3B82-4C90-B7A3-675BBD7EAEA1}" name="Experience and Environment"/>
    <tableColumn id="6" xr3:uid="{5317A465-8F00-450E-8E14-2DBCFF6E945B}" name="Service and Staff"/>
    <tableColumn id="7" xr3:uid="{C0FCE551-4332-4B21-9627-DA0CFD9EB239}" name="Miscellaneou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7FE01F9-A364-4311-931E-85843CEB71DF}" name="TableTrend" displayName="TableTrend" ref="A1:J67" totalsRowShown="0" headerRowDxfId="25" headerRowBorderDxfId="24" tableBorderDxfId="23">
  <autoFilter ref="A1:J67" xr:uid="{07FE01F9-A364-4311-931E-85843CEB71DF}"/>
  <tableColumns count="10">
    <tableColumn id="1" xr3:uid="{A01E3EE8-64C2-441F-A788-529973DE1C83}" name="topic"/>
    <tableColumn id="2" xr3:uid="{75BC0C25-9C16-4DF4-BDD4-81551329693A}" name="review_time" dataDxfId="2"/>
    <tableColumn id="3" xr3:uid="{6F62391B-E1EF-4087-910A-55B22214AAEC}" name="year" dataDxfId="1"/>
    <tableColumn id="4" xr3:uid="{4E5FEED7-2B24-4AF9-9C97-E0DAC387C167}" name="month" dataDxfId="0"/>
    <tableColumn id="10" xr3:uid="{3FAC9164-BFC1-481E-921D-C0F06BA6BD96}" name="rating_sum" dataDxfId="22"/>
    <tableColumn id="11" xr3:uid="{2A5A036C-32A2-4A08-A2BC-01A6A44E1C7D}" name="rating_count" dataDxfId="21"/>
    <tableColumn id="12" xr3:uid="{A24E8AB3-D3DD-4723-9008-40462D7823F1}" name="negative"/>
    <tableColumn id="7" xr3:uid="{4F753938-2EA1-425C-9689-BA8373A3ADC2}" name="neutral"/>
    <tableColumn id="5" xr3:uid="{80542E9C-0658-4E4F-8EC6-1A2BAB698E24}" name="positive" dataDxfId="20"/>
    <tableColumn id="6" xr3:uid="{3D10DD58-EDA3-4F90-8B7B-A20FD3B34451}" name="total"/>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70648B-07FC-448A-84A4-668B4DCE9A3D}" name="TableMain" displayName="TableMain" ref="A2:F182" totalsRowShown="0" headerRowDxfId="16" dataDxfId="6" headerRowBorderDxfId="18" tableBorderDxfId="19" totalsRowBorderDxfId="17">
  <autoFilter ref="A2:F182" xr:uid="{F070648B-07FC-448A-84A4-668B4DCE9A3D}"/>
  <tableColumns count="6">
    <tableColumn id="1" xr3:uid="{2DF3F355-E675-4425-809C-713C8D31D1BF}" name="reviewer_id" dataDxfId="12"/>
    <tableColumn id="2" xr3:uid="{D0522A8E-D504-44EB-9876-FD0F8E8C19EB}" name="review_time" dataDxfId="11"/>
    <tableColumn id="3" xr3:uid="{767381C1-3B6D-4982-BE62-43AA59D4F3A2}" name="rating" dataDxfId="10"/>
    <tableColumn id="4" xr3:uid="{9E26DDED-5929-400E-9FE8-647BE7347D42}" name="review" dataDxfId="9"/>
    <tableColumn id="5" xr3:uid="{D367067B-A227-432D-9595-A266C3E24F13}" name="aspect_sentiment" dataDxfId="8"/>
    <tableColumn id="6" xr3:uid="{0E1BA31E-888B-45B6-9CA8-0F77BC1F5495}" name="topic" dataDxfId="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7" Type="http://schemas.openxmlformats.org/officeDocument/2006/relationships/ctrlProp" Target="../ctrlProps/ctrlProp5.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869D5-54EA-41E4-872C-B4DB73B5B75C}">
  <dimension ref="B3:AA57"/>
  <sheetViews>
    <sheetView showGridLines="0" tabSelected="1" topLeftCell="F12" zoomScale="80" zoomScaleNormal="100" workbookViewId="0">
      <selection activeCell="AB22" sqref="AB22"/>
    </sheetView>
  </sheetViews>
  <sheetFormatPr defaultRowHeight="14.4" x14ac:dyDescent="0.3"/>
  <cols>
    <col min="6" max="6" width="10.5546875" bestFit="1" customWidth="1"/>
    <col min="9" max="9" width="14.21875" customWidth="1"/>
    <col min="10" max="10" width="11.21875" customWidth="1"/>
    <col min="12" max="12" width="13.5546875" customWidth="1"/>
    <col min="13" max="13" width="16" customWidth="1"/>
    <col min="19" max="19" width="12.5546875" customWidth="1"/>
    <col min="20" max="20" width="15.44140625" customWidth="1"/>
  </cols>
  <sheetData>
    <row r="3" spans="2:27" x14ac:dyDescent="0.3">
      <c r="H3" s="23"/>
      <c r="I3" s="23"/>
      <c r="J3" s="23"/>
      <c r="K3" s="23"/>
      <c r="L3" s="23"/>
      <c r="M3" s="23"/>
      <c r="N3" s="23"/>
      <c r="O3" s="23"/>
      <c r="P3" s="23"/>
      <c r="Q3" s="23"/>
      <c r="R3" s="23"/>
      <c r="S3" s="23"/>
      <c r="T3" s="23"/>
      <c r="U3" s="23"/>
      <c r="V3" s="23"/>
      <c r="W3" s="23"/>
      <c r="X3" s="23"/>
      <c r="Y3" s="23"/>
      <c r="Z3" s="23"/>
      <c r="AA3" s="23"/>
    </row>
    <row r="4" spans="2:27" x14ac:dyDescent="0.3">
      <c r="H4" s="23"/>
      <c r="I4" s="23"/>
      <c r="J4" s="23"/>
      <c r="K4" s="23"/>
      <c r="L4" s="23"/>
      <c r="M4" s="23"/>
      <c r="N4" s="23"/>
      <c r="O4" s="23"/>
      <c r="P4" s="23"/>
      <c r="Q4" s="23"/>
      <c r="R4" s="23"/>
      <c r="S4" s="23"/>
      <c r="T4" s="23"/>
      <c r="U4" s="23"/>
      <c r="V4" s="23"/>
      <c r="W4" s="23"/>
      <c r="X4" s="23"/>
      <c r="Y4" s="23"/>
      <c r="Z4" s="23"/>
      <c r="AA4" s="23"/>
    </row>
    <row r="5" spans="2:27" x14ac:dyDescent="0.3">
      <c r="H5" s="23"/>
      <c r="I5" s="23"/>
      <c r="J5" s="23"/>
      <c r="K5" s="23"/>
      <c r="L5" s="23"/>
      <c r="M5" s="23"/>
      <c r="N5" s="23"/>
      <c r="O5" s="23"/>
      <c r="P5" s="23"/>
      <c r="Q5" s="23"/>
      <c r="R5" s="23"/>
      <c r="S5" s="23"/>
      <c r="T5" s="23"/>
      <c r="U5" s="23"/>
      <c r="V5" s="23"/>
      <c r="W5" s="23"/>
      <c r="X5" s="23"/>
      <c r="Y5" s="23"/>
      <c r="Z5" s="23"/>
      <c r="AA5" s="23"/>
    </row>
    <row r="6" spans="2:27" x14ac:dyDescent="0.3">
      <c r="H6" s="23"/>
      <c r="I6" s="23"/>
      <c r="J6" s="23"/>
      <c r="K6" s="23"/>
      <c r="L6" s="23"/>
      <c r="M6" s="23"/>
      <c r="N6" s="23"/>
      <c r="O6" s="23"/>
      <c r="P6" s="23"/>
      <c r="Q6" s="23"/>
      <c r="R6" s="23"/>
      <c r="S6" s="23"/>
      <c r="T6" s="23"/>
      <c r="U6" s="23"/>
      <c r="V6" s="23"/>
      <c r="W6" s="23"/>
      <c r="X6" s="23"/>
      <c r="Y6" s="23"/>
      <c r="Z6" s="23"/>
      <c r="AA6" s="23"/>
    </row>
    <row r="7" spans="2:27" x14ac:dyDescent="0.3">
      <c r="B7">
        <v>2</v>
      </c>
      <c r="H7" s="23"/>
      <c r="I7" s="23"/>
      <c r="J7" s="23"/>
      <c r="K7" s="23"/>
      <c r="L7" s="23"/>
      <c r="M7" s="23"/>
      <c r="N7" s="23"/>
      <c r="O7" s="23"/>
      <c r="P7" s="23"/>
      <c r="Q7" s="23"/>
      <c r="R7" s="23"/>
      <c r="S7" s="23"/>
      <c r="T7" s="23"/>
      <c r="U7" s="23"/>
      <c r="V7" s="23"/>
      <c r="W7" s="23"/>
      <c r="X7" s="23"/>
      <c r="Y7" s="23"/>
      <c r="Z7" s="23"/>
      <c r="AA7" s="23"/>
    </row>
    <row r="8" spans="2:27" x14ac:dyDescent="0.3">
      <c r="H8" s="23"/>
      <c r="I8" s="23"/>
      <c r="J8" s="23"/>
      <c r="K8" s="23"/>
      <c r="L8" s="23"/>
      <c r="M8" s="23"/>
      <c r="N8" s="23"/>
      <c r="O8" s="23"/>
      <c r="P8" s="23"/>
      <c r="Q8" s="23"/>
      <c r="R8" s="23"/>
      <c r="S8" s="23"/>
      <c r="T8" s="23"/>
      <c r="U8" s="23"/>
      <c r="V8" s="23"/>
      <c r="W8" s="23"/>
      <c r="X8" s="23"/>
      <c r="Y8" s="23"/>
      <c r="Z8" s="23"/>
      <c r="AA8" s="23"/>
    </row>
    <row r="9" spans="2:27" x14ac:dyDescent="0.3">
      <c r="H9" s="23"/>
      <c r="I9" s="23"/>
      <c r="J9" s="23"/>
      <c r="K9" s="23"/>
      <c r="L9" s="23"/>
      <c r="M9" s="23"/>
      <c r="N9" s="23"/>
      <c r="O9" s="23"/>
      <c r="P9" s="23"/>
      <c r="Q9" s="23"/>
      <c r="R9" s="23"/>
      <c r="S9" s="23"/>
      <c r="T9" s="23"/>
      <c r="U9" s="23"/>
      <c r="V9" s="23"/>
      <c r="W9" s="23"/>
      <c r="X9" s="23"/>
      <c r="Y9" s="23"/>
      <c r="Z9" s="23"/>
      <c r="AA9" s="23"/>
    </row>
    <row r="10" spans="2:27" x14ac:dyDescent="0.3">
      <c r="H10" s="23"/>
      <c r="I10" s="23"/>
      <c r="J10" s="23"/>
      <c r="K10" s="23"/>
      <c r="L10" s="23"/>
      <c r="M10" s="23"/>
      <c r="N10" s="23"/>
      <c r="O10" s="23"/>
      <c r="P10" s="23"/>
      <c r="Q10" s="23"/>
      <c r="R10" s="23"/>
      <c r="S10" s="23"/>
      <c r="T10" s="23"/>
      <c r="U10" s="23"/>
      <c r="V10" s="23"/>
      <c r="W10" s="23"/>
      <c r="X10" s="23"/>
      <c r="Y10" s="23"/>
      <c r="Z10" s="23"/>
      <c r="AA10" s="23"/>
    </row>
    <row r="11" spans="2:27" x14ac:dyDescent="0.3">
      <c r="H11" s="23"/>
      <c r="I11" s="23"/>
      <c r="J11" s="23"/>
      <c r="K11" s="23"/>
      <c r="L11" s="23"/>
      <c r="M11" s="23"/>
      <c r="N11" s="23"/>
      <c r="O11" s="23"/>
      <c r="P11" s="23"/>
      <c r="Q11" s="23"/>
      <c r="R11" s="23"/>
      <c r="S11" s="23"/>
      <c r="T11" s="23"/>
      <c r="U11" s="23"/>
      <c r="V11" s="23"/>
      <c r="W11" s="23"/>
      <c r="X11" s="23"/>
      <c r="Y11" s="23"/>
      <c r="Z11" s="23"/>
      <c r="AA11" s="23"/>
    </row>
    <row r="12" spans="2:27" x14ac:dyDescent="0.3">
      <c r="H12" s="23"/>
      <c r="I12" s="23"/>
      <c r="J12" s="23"/>
      <c r="K12" s="23"/>
      <c r="L12" s="23"/>
      <c r="M12" s="23"/>
      <c r="N12" s="23"/>
      <c r="O12" s="23"/>
      <c r="P12" s="23"/>
      <c r="Q12" s="23"/>
      <c r="R12" s="23"/>
      <c r="S12" s="23"/>
      <c r="T12" s="23"/>
      <c r="U12" s="23"/>
      <c r="V12" s="23"/>
      <c r="W12" s="23"/>
      <c r="X12" s="23"/>
      <c r="Y12" s="23"/>
      <c r="Z12" s="23"/>
      <c r="AA12" s="23"/>
    </row>
    <row r="13" spans="2:27" x14ac:dyDescent="0.3">
      <c r="H13" s="23"/>
      <c r="I13" s="23"/>
      <c r="J13" s="23"/>
      <c r="K13" s="23"/>
      <c r="L13" s="23"/>
      <c r="M13" s="23"/>
      <c r="N13" s="23"/>
      <c r="O13" s="23"/>
      <c r="P13" s="23"/>
      <c r="Q13" s="23"/>
      <c r="R13" s="23"/>
      <c r="S13" s="23"/>
      <c r="T13" s="23"/>
      <c r="U13" s="23"/>
      <c r="V13" s="23"/>
      <c r="W13" s="23"/>
      <c r="X13" s="23"/>
      <c r="Y13" s="23"/>
      <c r="Z13" s="23"/>
      <c r="AA13" s="23"/>
    </row>
    <row r="14" spans="2:27" x14ac:dyDescent="0.3">
      <c r="H14" s="23"/>
      <c r="I14" s="23"/>
      <c r="J14" s="23"/>
      <c r="K14" s="23"/>
      <c r="L14" s="23"/>
      <c r="M14" s="23"/>
      <c r="N14" s="23"/>
      <c r="O14" s="23"/>
      <c r="P14" s="23"/>
      <c r="Q14" s="23"/>
      <c r="R14" s="23"/>
      <c r="S14" s="23"/>
      <c r="T14" s="23"/>
      <c r="U14" s="23"/>
      <c r="V14" s="23"/>
      <c r="W14" s="23"/>
      <c r="X14" s="23"/>
      <c r="Y14" s="23"/>
      <c r="Z14" s="23"/>
      <c r="AA14" s="23"/>
    </row>
    <row r="15" spans="2:27" x14ac:dyDescent="0.3">
      <c r="F15" s="7"/>
      <c r="H15" s="23"/>
      <c r="I15" s="35"/>
      <c r="J15" s="35"/>
      <c r="K15" s="23"/>
      <c r="L15" s="23"/>
      <c r="M15" s="23"/>
      <c r="N15" s="23"/>
      <c r="O15" s="23"/>
      <c r="P15" s="23"/>
      <c r="Q15" s="23"/>
      <c r="R15" s="23"/>
      <c r="S15" s="23"/>
      <c r="T15" s="23"/>
      <c r="U15" s="23"/>
      <c r="V15" s="23"/>
      <c r="W15" s="23"/>
      <c r="X15" s="23"/>
      <c r="Y15" s="23"/>
      <c r="Z15" s="23"/>
      <c r="AA15" s="23"/>
    </row>
    <row r="16" spans="2:27" x14ac:dyDescent="0.3">
      <c r="F16" s="7"/>
      <c r="H16" s="23"/>
      <c r="I16" s="23"/>
      <c r="J16" s="23"/>
      <c r="K16" s="23"/>
      <c r="L16" s="23"/>
      <c r="M16" s="23"/>
      <c r="N16" s="23"/>
      <c r="O16" s="23"/>
      <c r="P16" s="23"/>
      <c r="Q16" s="23"/>
      <c r="R16" s="23"/>
      <c r="S16" s="23"/>
      <c r="T16" s="23"/>
      <c r="U16" s="23"/>
      <c r="V16" s="23"/>
      <c r="W16" s="23"/>
      <c r="X16" s="23"/>
      <c r="Y16" s="23"/>
      <c r="Z16" s="23"/>
      <c r="AA16" s="23"/>
    </row>
    <row r="17" spans="8:27" x14ac:dyDescent="0.3">
      <c r="H17" s="23"/>
      <c r="I17" s="23"/>
      <c r="J17" s="23"/>
      <c r="K17" s="23"/>
      <c r="L17" s="23"/>
      <c r="M17" s="23"/>
      <c r="N17" s="23"/>
      <c r="O17" s="23"/>
      <c r="P17" s="23"/>
      <c r="Q17" s="23"/>
      <c r="R17" s="23"/>
      <c r="S17" s="23"/>
      <c r="T17" s="23"/>
      <c r="U17" s="23"/>
      <c r="V17" s="23"/>
      <c r="W17" s="23"/>
      <c r="X17" s="23"/>
      <c r="Y17" s="23"/>
      <c r="Z17" s="23"/>
      <c r="AA17" s="23"/>
    </row>
    <row r="18" spans="8:27" x14ac:dyDescent="0.3">
      <c r="H18" s="23"/>
      <c r="I18" s="23"/>
      <c r="J18" s="23"/>
      <c r="K18" s="23"/>
      <c r="L18" s="23"/>
      <c r="M18" s="23"/>
      <c r="N18" s="23"/>
      <c r="O18" s="23"/>
      <c r="P18" s="23"/>
      <c r="Q18" s="23"/>
      <c r="R18" s="23"/>
      <c r="S18" s="23"/>
      <c r="T18" s="23"/>
      <c r="U18" s="23"/>
      <c r="V18" s="23"/>
      <c r="W18" s="23"/>
      <c r="X18" s="23"/>
      <c r="Y18" s="23"/>
      <c r="Z18" s="23"/>
      <c r="AA18" s="23"/>
    </row>
    <row r="19" spans="8:27" x14ac:dyDescent="0.3">
      <c r="H19" s="23"/>
      <c r="I19" s="23"/>
      <c r="J19" s="23"/>
      <c r="K19" s="23"/>
      <c r="L19" s="23"/>
      <c r="M19" s="23"/>
      <c r="N19" s="23"/>
      <c r="O19" s="23"/>
      <c r="P19" s="23"/>
      <c r="Q19" s="23"/>
      <c r="R19" s="23"/>
      <c r="S19" s="23"/>
      <c r="T19" s="23"/>
      <c r="U19" s="23"/>
      <c r="V19" s="23"/>
      <c r="W19" s="23"/>
      <c r="X19" s="23"/>
      <c r="Y19" s="23"/>
      <c r="Z19" s="23"/>
      <c r="AA19" s="23"/>
    </row>
    <row r="20" spans="8:27" x14ac:dyDescent="0.3">
      <c r="H20" s="23"/>
      <c r="I20" s="23"/>
      <c r="J20" s="23"/>
      <c r="K20" s="23"/>
      <c r="L20" s="23"/>
      <c r="M20" s="23"/>
      <c r="N20" s="23"/>
      <c r="O20" s="23"/>
      <c r="P20" s="23"/>
      <c r="Q20" s="23"/>
      <c r="R20" s="23"/>
      <c r="S20" s="23"/>
      <c r="T20" s="23"/>
      <c r="U20" s="23"/>
      <c r="V20" s="23"/>
      <c r="W20" s="23"/>
      <c r="X20" s="23"/>
      <c r="Y20" s="23"/>
      <c r="Z20" s="23"/>
      <c r="AA20" s="23"/>
    </row>
    <row r="21" spans="8:27" x14ac:dyDescent="0.3">
      <c r="H21" s="23"/>
      <c r="I21" s="23"/>
      <c r="J21" s="23"/>
      <c r="K21" s="23"/>
      <c r="L21" s="23"/>
      <c r="M21" s="23"/>
      <c r="N21" s="23"/>
      <c r="O21" s="23"/>
      <c r="P21" s="23"/>
      <c r="Q21" s="23"/>
      <c r="R21" s="23"/>
      <c r="S21" s="23"/>
      <c r="T21" s="23"/>
      <c r="U21" s="23"/>
      <c r="V21" s="23"/>
      <c r="W21" s="23"/>
      <c r="X21" s="23"/>
      <c r="Y21" s="23"/>
      <c r="Z21" s="23"/>
      <c r="AA21" s="23"/>
    </row>
    <row r="22" spans="8:27" x14ac:dyDescent="0.3">
      <c r="H22" s="23"/>
      <c r="I22" s="23"/>
      <c r="J22" s="23"/>
      <c r="K22" s="23"/>
      <c r="L22" s="23"/>
      <c r="M22" s="23"/>
      <c r="N22" s="23"/>
      <c r="O22" s="23"/>
      <c r="P22" s="23"/>
      <c r="Q22" s="23"/>
      <c r="R22" s="23"/>
      <c r="S22" s="23"/>
      <c r="T22" s="23"/>
      <c r="U22" s="23"/>
      <c r="V22" s="23"/>
      <c r="W22" s="23"/>
      <c r="X22" s="23"/>
      <c r="Y22" s="23"/>
      <c r="Z22" s="23"/>
      <c r="AA22" s="23"/>
    </row>
    <row r="23" spans="8:27" x14ac:dyDescent="0.3">
      <c r="H23" s="23"/>
      <c r="I23" s="23"/>
      <c r="J23" s="23"/>
      <c r="K23" s="23"/>
      <c r="L23" s="23"/>
      <c r="M23" s="23"/>
      <c r="N23" s="23"/>
      <c r="O23" s="23"/>
      <c r="P23" s="23"/>
      <c r="Q23" s="23"/>
      <c r="R23" s="23"/>
      <c r="S23" s="23"/>
      <c r="T23" s="23"/>
      <c r="U23" s="23"/>
      <c r="V23" s="23"/>
      <c r="W23" s="23"/>
      <c r="X23" s="23"/>
      <c r="Y23" s="23"/>
      <c r="Z23" s="23"/>
      <c r="AA23" s="23"/>
    </row>
    <row r="24" spans="8:27" x14ac:dyDescent="0.3">
      <c r="H24" s="23"/>
      <c r="I24" s="23"/>
      <c r="J24" s="23"/>
      <c r="K24" s="23"/>
      <c r="L24" s="23"/>
      <c r="M24" s="23"/>
      <c r="N24" s="23"/>
      <c r="O24" s="23"/>
      <c r="P24" s="23"/>
      <c r="Q24" s="23"/>
      <c r="R24" s="23"/>
      <c r="S24" s="23"/>
      <c r="T24" s="23"/>
      <c r="U24" s="23"/>
      <c r="V24" s="23"/>
      <c r="W24" s="23"/>
      <c r="X24" s="23"/>
      <c r="Y24" s="23"/>
      <c r="Z24" s="23"/>
      <c r="AA24" s="23"/>
    </row>
    <row r="25" spans="8:27" x14ac:dyDescent="0.3">
      <c r="H25" s="23"/>
      <c r="I25" s="23"/>
      <c r="J25" s="23"/>
      <c r="K25" s="23"/>
      <c r="L25" s="23"/>
      <c r="M25" s="23"/>
      <c r="N25" s="23"/>
      <c r="O25" s="23"/>
      <c r="P25" s="23"/>
      <c r="Q25" s="23"/>
      <c r="R25" s="23"/>
      <c r="S25" s="23"/>
      <c r="T25" s="23"/>
      <c r="U25" s="23"/>
      <c r="V25" s="23"/>
      <c r="W25" s="23"/>
      <c r="X25" s="23"/>
      <c r="Y25" s="23"/>
      <c r="Z25" s="23"/>
      <c r="AA25" s="23"/>
    </row>
    <row r="26" spans="8:27" x14ac:dyDescent="0.3">
      <c r="H26" s="23"/>
      <c r="I26" s="23"/>
      <c r="J26" s="23"/>
      <c r="K26" s="23"/>
      <c r="L26" s="23"/>
      <c r="M26" s="23"/>
      <c r="N26" s="23"/>
      <c r="O26" s="23"/>
      <c r="P26" s="23"/>
      <c r="Q26" s="23"/>
      <c r="R26" s="23"/>
      <c r="S26" s="23"/>
      <c r="T26" s="23"/>
      <c r="U26" s="23"/>
      <c r="V26" s="23"/>
      <c r="W26" s="23"/>
      <c r="X26" s="23"/>
      <c r="Y26" s="23"/>
      <c r="Z26" s="23"/>
      <c r="AA26" s="23"/>
    </row>
    <row r="27" spans="8:27" x14ac:dyDescent="0.3">
      <c r="H27" s="23"/>
      <c r="I27" s="23"/>
      <c r="J27" s="23"/>
      <c r="K27" s="23"/>
      <c r="L27" s="23"/>
      <c r="M27" s="23"/>
      <c r="N27" s="23"/>
      <c r="O27" s="23"/>
      <c r="P27" s="23"/>
      <c r="Q27" s="23"/>
      <c r="R27" s="23"/>
      <c r="S27" s="23"/>
      <c r="T27" s="23"/>
      <c r="U27" s="23"/>
      <c r="V27" s="23"/>
      <c r="W27" s="23"/>
      <c r="X27" s="23"/>
      <c r="Y27" s="23"/>
      <c r="Z27" s="23"/>
      <c r="AA27" s="23"/>
    </row>
    <row r="28" spans="8:27" x14ac:dyDescent="0.3">
      <c r="H28" s="23"/>
      <c r="I28" s="23"/>
      <c r="J28" s="23"/>
      <c r="K28" s="23"/>
      <c r="L28" s="23"/>
      <c r="M28" s="23"/>
      <c r="N28" s="23"/>
      <c r="O28" s="23"/>
      <c r="P28" s="23"/>
      <c r="Q28" s="23"/>
      <c r="R28" s="23"/>
      <c r="S28" s="23"/>
      <c r="T28" s="23"/>
      <c r="U28" s="23"/>
      <c r="V28" s="23"/>
      <c r="W28" s="23"/>
      <c r="X28" s="23"/>
      <c r="Y28" s="23"/>
      <c r="Z28" s="23"/>
      <c r="AA28" s="23"/>
    </row>
    <row r="29" spans="8:27" x14ac:dyDescent="0.3">
      <c r="H29" s="23"/>
      <c r="I29" s="23"/>
      <c r="J29" s="23"/>
      <c r="K29" s="23"/>
      <c r="L29" s="23"/>
      <c r="M29" s="23"/>
      <c r="N29" s="23"/>
      <c r="O29" s="23"/>
      <c r="P29" s="23"/>
      <c r="Q29" s="23"/>
      <c r="R29" s="23"/>
      <c r="S29" s="23"/>
      <c r="T29" s="23"/>
      <c r="U29" s="23"/>
      <c r="V29" s="23"/>
      <c r="W29" s="23"/>
      <c r="X29" s="23"/>
      <c r="Y29" s="23"/>
      <c r="Z29" s="23"/>
      <c r="AA29" s="23"/>
    </row>
    <row r="30" spans="8:27" x14ac:dyDescent="0.3">
      <c r="H30" s="23"/>
      <c r="I30" s="23"/>
      <c r="J30" s="23"/>
      <c r="K30" s="23"/>
      <c r="L30" s="23"/>
      <c r="M30" s="23"/>
      <c r="N30" s="23"/>
      <c r="O30" s="23"/>
      <c r="P30" s="23"/>
      <c r="Q30" s="23"/>
      <c r="R30" s="23"/>
      <c r="S30" s="23"/>
      <c r="T30" s="23"/>
      <c r="U30" s="23"/>
      <c r="V30" s="23"/>
      <c r="W30" s="23"/>
      <c r="X30" s="23"/>
      <c r="Y30" s="23"/>
      <c r="Z30" s="23"/>
      <c r="AA30" s="23"/>
    </row>
    <row r="31" spans="8:27" x14ac:dyDescent="0.3">
      <c r="H31" s="23"/>
      <c r="I31" s="23"/>
      <c r="J31" s="23"/>
      <c r="K31" s="23"/>
      <c r="L31" s="23"/>
      <c r="M31" s="23"/>
      <c r="N31" s="23"/>
      <c r="O31" s="23"/>
      <c r="P31" s="23"/>
      <c r="Q31" s="23"/>
      <c r="R31" s="23"/>
      <c r="S31" s="23"/>
      <c r="T31" s="23"/>
      <c r="U31" s="23"/>
      <c r="V31" s="23"/>
      <c r="W31" s="23"/>
      <c r="X31" s="23"/>
      <c r="Y31" s="23"/>
      <c r="Z31" s="23"/>
      <c r="AA31" s="23"/>
    </row>
    <row r="32" spans="8:27" x14ac:dyDescent="0.3">
      <c r="H32" s="23"/>
      <c r="I32" s="23"/>
      <c r="J32" s="23"/>
      <c r="K32" s="23"/>
      <c r="L32" s="23"/>
      <c r="M32" s="23"/>
      <c r="N32" s="23"/>
      <c r="O32" s="23"/>
      <c r="P32" s="23"/>
      <c r="Q32" s="23"/>
      <c r="R32" s="23"/>
      <c r="S32" s="23"/>
      <c r="T32" s="23"/>
      <c r="U32" s="23"/>
      <c r="V32" s="23"/>
      <c r="W32" s="23"/>
      <c r="X32" s="23"/>
      <c r="Y32" s="23"/>
      <c r="Z32" s="23"/>
      <c r="AA32" s="23"/>
    </row>
    <row r="33" spans="8:27" x14ac:dyDescent="0.3">
      <c r="H33" s="23"/>
      <c r="I33" s="23"/>
      <c r="J33" s="23"/>
      <c r="K33" s="23"/>
      <c r="L33" s="23"/>
      <c r="M33" s="23"/>
      <c r="N33" s="23"/>
      <c r="O33" s="23"/>
      <c r="P33" s="23"/>
      <c r="Q33" s="23"/>
      <c r="R33" s="23"/>
      <c r="S33" s="23"/>
      <c r="T33" s="23"/>
      <c r="U33" s="23"/>
      <c r="V33" s="23"/>
      <c r="W33" s="23"/>
      <c r="X33" s="23"/>
      <c r="Y33" s="23"/>
      <c r="Z33" s="23"/>
      <c r="AA33" s="23"/>
    </row>
    <row r="34" spans="8:27" x14ac:dyDescent="0.3">
      <c r="H34" s="23"/>
      <c r="I34" s="23"/>
      <c r="J34" s="23"/>
      <c r="K34" s="23"/>
      <c r="L34" s="23"/>
      <c r="M34" s="23"/>
      <c r="N34" s="23"/>
      <c r="O34" s="23"/>
      <c r="P34" s="23"/>
      <c r="Q34" s="23"/>
      <c r="R34" s="23"/>
      <c r="S34" s="23"/>
      <c r="T34" s="23"/>
      <c r="U34" s="23"/>
      <c r="V34" s="23"/>
      <c r="W34" s="23"/>
      <c r="X34" s="23"/>
      <c r="Y34" s="23"/>
      <c r="Z34" s="23"/>
      <c r="AA34" s="23"/>
    </row>
    <row r="35" spans="8:27" x14ac:dyDescent="0.3">
      <c r="H35" s="23"/>
      <c r="I35" s="23"/>
      <c r="J35" s="23"/>
      <c r="K35" s="23"/>
      <c r="L35" s="23"/>
      <c r="M35" s="23"/>
      <c r="N35" s="23"/>
      <c r="O35" s="23"/>
      <c r="P35" s="23"/>
      <c r="Q35" s="23"/>
      <c r="R35" s="23"/>
      <c r="S35" s="23"/>
      <c r="T35" s="23"/>
      <c r="U35" s="23"/>
      <c r="V35" s="23"/>
      <c r="W35" s="23"/>
      <c r="X35" s="23"/>
      <c r="Y35" s="23"/>
      <c r="Z35" s="23"/>
      <c r="AA35" s="23"/>
    </row>
    <row r="36" spans="8:27" x14ac:dyDescent="0.3">
      <c r="H36" s="23"/>
      <c r="I36" s="23"/>
      <c r="J36" s="23"/>
      <c r="K36" s="23"/>
      <c r="L36" s="23"/>
      <c r="M36" s="23"/>
      <c r="N36" s="23"/>
      <c r="O36" s="23"/>
      <c r="P36" s="23"/>
      <c r="Q36" s="23"/>
      <c r="R36" s="23"/>
      <c r="S36" s="23"/>
      <c r="T36" s="23"/>
      <c r="U36" s="23"/>
      <c r="V36" s="23"/>
      <c r="W36" s="23"/>
      <c r="X36" s="23"/>
      <c r="Y36" s="23"/>
      <c r="Z36" s="23"/>
      <c r="AA36" s="23"/>
    </row>
    <row r="37" spans="8:27" x14ac:dyDescent="0.3">
      <c r="H37" s="23"/>
      <c r="I37" s="23"/>
      <c r="J37" s="23"/>
      <c r="K37" s="23"/>
      <c r="L37" s="23"/>
      <c r="M37" s="23"/>
      <c r="N37" s="23"/>
      <c r="O37" s="23"/>
      <c r="P37" s="23"/>
      <c r="Q37" s="23"/>
      <c r="R37" s="23"/>
      <c r="S37" s="23"/>
      <c r="T37" s="23"/>
      <c r="U37" s="23"/>
      <c r="V37" s="23"/>
      <c r="W37" s="23"/>
      <c r="X37" s="23"/>
      <c r="Y37" s="23"/>
      <c r="Z37" s="23"/>
      <c r="AA37" s="23"/>
    </row>
    <row r="38" spans="8:27" x14ac:dyDescent="0.3">
      <c r="H38" s="23"/>
      <c r="I38" s="23"/>
      <c r="J38" s="23"/>
      <c r="K38" s="23"/>
      <c r="L38" s="23"/>
      <c r="M38" s="23"/>
      <c r="N38" s="23"/>
      <c r="O38" s="23"/>
      <c r="P38" s="23"/>
      <c r="Q38" s="23"/>
      <c r="R38" s="23"/>
      <c r="S38" s="23"/>
      <c r="T38" s="23"/>
      <c r="U38" s="23"/>
      <c r="V38" s="23"/>
      <c r="W38" s="23"/>
      <c r="X38" s="23"/>
      <c r="Y38" s="23"/>
      <c r="Z38" s="23"/>
      <c r="AA38" s="23"/>
    </row>
    <row r="39" spans="8:27" x14ac:dyDescent="0.3">
      <c r="H39" s="23"/>
      <c r="I39" s="23"/>
      <c r="J39" s="23"/>
      <c r="K39" s="23"/>
      <c r="L39" s="23"/>
      <c r="M39" s="23"/>
      <c r="N39" s="23"/>
      <c r="O39" s="23"/>
      <c r="P39" s="23"/>
      <c r="Q39" s="23"/>
      <c r="R39" s="23"/>
      <c r="S39" s="23"/>
      <c r="T39" s="23"/>
      <c r="U39" s="23"/>
      <c r="V39" s="23"/>
      <c r="W39" s="23"/>
      <c r="X39" s="23"/>
      <c r="Y39" s="23"/>
      <c r="Z39" s="23"/>
      <c r="AA39" s="23"/>
    </row>
    <row r="40" spans="8:27" x14ac:dyDescent="0.3">
      <c r="H40" s="23"/>
      <c r="I40" s="23"/>
      <c r="J40" s="23"/>
      <c r="K40" s="23"/>
      <c r="L40" s="23"/>
      <c r="M40" s="23"/>
      <c r="N40" s="23"/>
      <c r="O40" s="23"/>
      <c r="P40" s="23"/>
      <c r="Q40" s="23"/>
      <c r="R40" s="23"/>
      <c r="S40" s="23"/>
      <c r="T40" s="23"/>
      <c r="U40" s="23"/>
      <c r="V40" s="23"/>
      <c r="W40" s="23"/>
      <c r="X40" s="23"/>
      <c r="Y40" s="23"/>
      <c r="Z40" s="23"/>
      <c r="AA40" s="23"/>
    </row>
    <row r="41" spans="8:27" x14ac:dyDescent="0.3">
      <c r="H41" s="23"/>
      <c r="I41" s="23"/>
      <c r="J41" s="23"/>
      <c r="K41" s="23"/>
      <c r="L41" s="23"/>
      <c r="M41" s="23"/>
      <c r="N41" s="23"/>
      <c r="O41" s="23"/>
      <c r="P41" s="23"/>
      <c r="Q41" s="23"/>
      <c r="R41" s="23"/>
      <c r="S41" s="23"/>
      <c r="T41" s="23"/>
      <c r="U41" s="23"/>
      <c r="V41" s="23"/>
      <c r="W41" s="23"/>
      <c r="X41" s="23"/>
      <c r="Y41" s="23"/>
      <c r="Z41" s="23"/>
      <c r="AA41" s="23"/>
    </row>
    <row r="42" spans="8:27" x14ac:dyDescent="0.3">
      <c r="H42" s="23"/>
      <c r="I42" s="23"/>
      <c r="J42" s="23"/>
      <c r="K42" s="23"/>
      <c r="L42" s="23"/>
      <c r="M42" s="23"/>
      <c r="N42" s="23"/>
      <c r="O42" s="23"/>
      <c r="P42" s="23"/>
      <c r="Q42" s="23"/>
      <c r="R42" s="23"/>
      <c r="S42" s="23"/>
      <c r="T42" s="23"/>
      <c r="U42" s="23"/>
      <c r="V42" s="23"/>
      <c r="W42" s="23"/>
      <c r="X42" s="23"/>
      <c r="Y42" s="23"/>
      <c r="Z42" s="23"/>
      <c r="AA42" s="23"/>
    </row>
    <row r="43" spans="8:27" x14ac:dyDescent="0.3">
      <c r="H43" s="23"/>
      <c r="I43" s="23"/>
      <c r="J43" s="23"/>
      <c r="K43" s="23"/>
      <c r="L43" s="23"/>
      <c r="M43" s="23"/>
      <c r="N43" s="23"/>
      <c r="O43" s="23"/>
      <c r="P43" s="23"/>
      <c r="Q43" s="23"/>
      <c r="R43" s="23"/>
      <c r="S43" s="23"/>
      <c r="T43" s="23"/>
      <c r="U43" s="23"/>
      <c r="V43" s="23"/>
      <c r="W43" s="23"/>
      <c r="X43" s="23"/>
      <c r="Y43" s="23"/>
      <c r="Z43" s="23"/>
      <c r="AA43" s="23"/>
    </row>
    <row r="44" spans="8:27" x14ac:dyDescent="0.3">
      <c r="H44" s="23"/>
      <c r="I44" s="23"/>
      <c r="J44" s="23"/>
      <c r="K44" s="23"/>
      <c r="L44" s="23"/>
      <c r="M44" s="23"/>
      <c r="N44" s="23"/>
      <c r="O44" s="23"/>
      <c r="P44" s="23"/>
      <c r="Q44" s="23"/>
      <c r="R44" s="23"/>
      <c r="S44" s="23"/>
      <c r="T44" s="23"/>
      <c r="U44" s="23"/>
      <c r="V44" s="23"/>
      <c r="W44" s="23"/>
      <c r="X44" s="23"/>
      <c r="Y44" s="23"/>
      <c r="Z44" s="23"/>
      <c r="AA44" s="23"/>
    </row>
    <row r="45" spans="8:27" x14ac:dyDescent="0.3">
      <c r="H45" s="23"/>
      <c r="I45" s="23"/>
      <c r="J45" s="23"/>
      <c r="K45" s="23"/>
      <c r="L45" s="23"/>
      <c r="M45" s="23"/>
      <c r="N45" s="23"/>
      <c r="O45" s="23"/>
      <c r="P45" s="23"/>
      <c r="Q45" s="23"/>
      <c r="R45" s="23"/>
      <c r="S45" s="23"/>
      <c r="T45" s="23"/>
      <c r="U45" s="23"/>
      <c r="V45" s="23"/>
      <c r="W45" s="23"/>
      <c r="X45" s="23"/>
      <c r="Y45" s="23"/>
      <c r="Z45" s="23"/>
      <c r="AA45" s="23"/>
    </row>
    <row r="46" spans="8:27" x14ac:dyDescent="0.3">
      <c r="H46" s="23"/>
      <c r="I46" s="23"/>
      <c r="J46" s="23"/>
      <c r="K46" s="23"/>
      <c r="L46" s="23"/>
      <c r="M46" s="23"/>
      <c r="N46" s="23"/>
      <c r="O46" s="23"/>
      <c r="P46" s="23"/>
      <c r="Q46" s="23"/>
      <c r="R46" s="23"/>
      <c r="S46" s="23"/>
      <c r="T46" s="23"/>
      <c r="U46" s="23"/>
      <c r="V46" s="23"/>
      <c r="W46" s="23"/>
      <c r="X46" s="23"/>
      <c r="Y46" s="23"/>
      <c r="Z46" s="23"/>
      <c r="AA46" s="23"/>
    </row>
    <row r="47" spans="8:27" x14ac:dyDescent="0.3">
      <c r="H47" s="23"/>
      <c r="I47" s="23"/>
      <c r="J47" s="23"/>
      <c r="K47" s="23"/>
      <c r="L47" s="23"/>
      <c r="M47" s="23"/>
      <c r="N47" s="23"/>
      <c r="O47" s="23"/>
      <c r="P47" s="23"/>
      <c r="Q47" s="23"/>
      <c r="R47" s="23"/>
      <c r="S47" s="23"/>
      <c r="T47" s="23"/>
      <c r="U47" s="23"/>
      <c r="V47" s="23"/>
      <c r="W47" s="23"/>
      <c r="X47" s="23"/>
      <c r="Y47" s="23"/>
      <c r="Z47" s="23"/>
      <c r="AA47" s="23"/>
    </row>
    <row r="48" spans="8:27" x14ac:dyDescent="0.3">
      <c r="H48" s="23"/>
      <c r="I48" s="23"/>
      <c r="J48" s="23"/>
      <c r="K48" s="23"/>
      <c r="L48" s="23"/>
      <c r="M48" s="23"/>
      <c r="N48" s="23"/>
      <c r="O48" s="23"/>
      <c r="P48" s="23"/>
      <c r="Q48" s="23"/>
      <c r="R48" s="23"/>
      <c r="S48" s="23"/>
      <c r="T48" s="23"/>
      <c r="U48" s="23"/>
      <c r="V48" s="23"/>
      <c r="W48" s="23"/>
      <c r="X48" s="23"/>
      <c r="Y48" s="23"/>
      <c r="Z48" s="23"/>
      <c r="AA48" s="23"/>
    </row>
    <row r="49" spans="8:27" x14ac:dyDescent="0.3">
      <c r="H49" s="23"/>
      <c r="I49" s="23"/>
      <c r="J49" s="23"/>
      <c r="K49" s="23"/>
      <c r="L49" s="23"/>
      <c r="M49" s="23"/>
      <c r="N49" s="23"/>
      <c r="O49" s="23"/>
      <c r="P49" s="23"/>
      <c r="Q49" s="23"/>
      <c r="R49" s="23"/>
      <c r="S49" s="23"/>
      <c r="T49" s="23"/>
      <c r="U49" s="23"/>
      <c r="V49" s="23"/>
      <c r="W49" s="23"/>
      <c r="X49" s="23"/>
      <c r="Y49" s="23"/>
      <c r="Z49" s="23"/>
      <c r="AA49" s="23"/>
    </row>
    <row r="50" spans="8:27" x14ac:dyDescent="0.3">
      <c r="H50" s="23"/>
      <c r="I50" s="23"/>
      <c r="J50" s="23"/>
      <c r="K50" s="23"/>
      <c r="L50" s="23"/>
      <c r="M50" s="23"/>
      <c r="N50" s="23"/>
      <c r="O50" s="23"/>
      <c r="P50" s="23"/>
      <c r="Q50" s="23"/>
      <c r="R50" s="23"/>
      <c r="S50" s="23"/>
      <c r="T50" s="23"/>
      <c r="U50" s="23"/>
      <c r="V50" s="23"/>
      <c r="W50" s="23"/>
      <c r="X50" s="23"/>
      <c r="Y50" s="23"/>
      <c r="Z50" s="23"/>
      <c r="AA50" s="23"/>
    </row>
    <row r="51" spans="8:27" x14ac:dyDescent="0.3">
      <c r="H51" s="23"/>
      <c r="I51" s="23"/>
      <c r="J51" s="23"/>
      <c r="K51" s="23"/>
      <c r="L51" s="23"/>
      <c r="M51" s="23"/>
      <c r="N51" s="23"/>
      <c r="O51" s="23"/>
      <c r="P51" s="23"/>
      <c r="Q51" s="23"/>
      <c r="R51" s="23"/>
      <c r="S51" s="23"/>
      <c r="T51" s="23"/>
      <c r="U51" s="23"/>
      <c r="V51" s="23"/>
      <c r="W51" s="23"/>
      <c r="X51" s="23"/>
      <c r="Y51" s="23"/>
      <c r="Z51" s="23"/>
      <c r="AA51" s="23"/>
    </row>
    <row r="52" spans="8:27" x14ac:dyDescent="0.3">
      <c r="H52" s="23"/>
      <c r="I52" s="23"/>
      <c r="J52" s="23"/>
      <c r="K52" s="23"/>
      <c r="L52" s="23"/>
      <c r="M52" s="23"/>
      <c r="N52" s="23"/>
      <c r="O52" s="23"/>
      <c r="P52" s="23"/>
      <c r="Q52" s="23"/>
      <c r="R52" s="23"/>
      <c r="S52" s="23"/>
      <c r="T52" s="23"/>
      <c r="U52" s="23"/>
      <c r="V52" s="23"/>
      <c r="W52" s="23"/>
      <c r="X52" s="23"/>
      <c r="Y52" s="23"/>
      <c r="Z52" s="23"/>
      <c r="AA52" s="23"/>
    </row>
    <row r="53" spans="8:27" x14ac:dyDescent="0.3">
      <c r="H53" s="23"/>
      <c r="I53" s="23"/>
      <c r="J53" s="23"/>
      <c r="K53" s="23"/>
      <c r="L53" s="23"/>
      <c r="M53" s="23"/>
      <c r="N53" s="23"/>
      <c r="O53" s="23"/>
      <c r="P53" s="23"/>
      <c r="Q53" s="23"/>
      <c r="R53" s="23"/>
      <c r="S53" s="23"/>
      <c r="T53" s="23"/>
      <c r="U53" s="23"/>
      <c r="V53" s="23"/>
      <c r="W53" s="23"/>
      <c r="X53" s="23"/>
      <c r="Y53" s="23"/>
      <c r="Z53" s="23"/>
      <c r="AA53" s="23"/>
    </row>
    <row r="54" spans="8:27" x14ac:dyDescent="0.3">
      <c r="H54" s="23"/>
      <c r="I54" s="23"/>
      <c r="J54" s="23"/>
      <c r="K54" s="23"/>
      <c r="L54" s="23"/>
      <c r="M54" s="23"/>
      <c r="N54" s="23"/>
      <c r="O54" s="23"/>
      <c r="P54" s="23"/>
      <c r="Q54" s="23"/>
      <c r="R54" s="23"/>
      <c r="S54" s="23"/>
      <c r="T54" s="23"/>
      <c r="U54" s="23"/>
      <c r="V54" s="23"/>
      <c r="W54" s="23"/>
      <c r="X54" s="23"/>
      <c r="Y54" s="23"/>
      <c r="Z54" s="23"/>
      <c r="AA54" s="23"/>
    </row>
    <row r="55" spans="8:27" x14ac:dyDescent="0.3">
      <c r="H55" s="23"/>
      <c r="I55" s="23"/>
      <c r="J55" s="23"/>
      <c r="K55" s="23"/>
      <c r="L55" s="23"/>
      <c r="M55" s="23"/>
      <c r="N55" s="23"/>
      <c r="O55" s="23"/>
      <c r="P55" s="23"/>
      <c r="Q55" s="23"/>
      <c r="R55" s="23"/>
      <c r="S55" s="23"/>
      <c r="T55" s="23"/>
      <c r="U55" s="23"/>
      <c r="V55" s="23"/>
      <c r="W55" s="23"/>
      <c r="X55" s="23"/>
      <c r="Y55" s="23"/>
      <c r="Z55" s="23"/>
      <c r="AA55" s="23"/>
    </row>
    <row r="56" spans="8:27" x14ac:dyDescent="0.3">
      <c r="H56" s="23"/>
      <c r="I56" s="23"/>
      <c r="J56" s="23"/>
      <c r="K56" s="23"/>
      <c r="L56" s="23"/>
      <c r="M56" s="23"/>
      <c r="N56" s="23"/>
      <c r="O56" s="23"/>
      <c r="P56" s="23"/>
      <c r="Q56" s="23"/>
      <c r="R56" s="23"/>
      <c r="S56" s="23"/>
      <c r="T56" s="23"/>
      <c r="U56" s="23"/>
      <c r="V56" s="23"/>
      <c r="W56" s="23"/>
      <c r="X56" s="23"/>
      <c r="Y56" s="23"/>
      <c r="Z56" s="23"/>
      <c r="AA56" s="23"/>
    </row>
    <row r="57" spans="8:27" x14ac:dyDescent="0.3">
      <c r="H57" s="23"/>
      <c r="I57" s="23"/>
      <c r="J57" s="23"/>
      <c r="K57" s="23"/>
      <c r="L57" s="23"/>
      <c r="M57" s="23"/>
      <c r="N57" s="23"/>
      <c r="O57" s="23"/>
      <c r="P57" s="23"/>
      <c r="Q57" s="23"/>
      <c r="R57" s="23"/>
      <c r="S57" s="23"/>
      <c r="T57" s="23"/>
      <c r="U57" s="23"/>
      <c r="V57" s="23"/>
      <c r="W57" s="23"/>
      <c r="X57" s="23"/>
      <c r="Y57" s="23"/>
      <c r="Z57" s="23"/>
      <c r="AA57" s="23"/>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69" r:id="rId3" name="Scroll Bar 1">
              <controlPr defaultSize="0" autoPict="0">
                <anchor moveWithCells="1">
                  <from>
                    <xdr:col>17</xdr:col>
                    <xdr:colOff>22860</xdr:colOff>
                    <xdr:row>42</xdr:row>
                    <xdr:rowOff>45720</xdr:rowOff>
                  </from>
                  <to>
                    <xdr:col>17</xdr:col>
                    <xdr:colOff>274320</xdr:colOff>
                    <xdr:row>52</xdr:row>
                    <xdr:rowOff>152400</xdr:rowOff>
                  </to>
                </anchor>
              </controlPr>
            </control>
          </mc:Choice>
        </mc:AlternateContent>
        <mc:AlternateContent xmlns:mc="http://schemas.openxmlformats.org/markup-compatibility/2006">
          <mc:Choice Requires="x14">
            <control shapeId="7397" r:id="rId4" name="Drop Down 229">
              <controlPr defaultSize="0" autoLine="0" autoPict="0">
                <anchor moveWithCells="1">
                  <from>
                    <xdr:col>17</xdr:col>
                    <xdr:colOff>60960</xdr:colOff>
                    <xdr:row>11</xdr:row>
                    <xdr:rowOff>182880</xdr:rowOff>
                  </from>
                  <to>
                    <xdr:col>19</xdr:col>
                    <xdr:colOff>175260</xdr:colOff>
                    <xdr:row>13</xdr:row>
                    <xdr:rowOff>121920</xdr:rowOff>
                  </to>
                </anchor>
              </controlPr>
            </control>
          </mc:Choice>
        </mc:AlternateContent>
        <mc:AlternateContent xmlns:mc="http://schemas.openxmlformats.org/markup-compatibility/2006">
          <mc:Choice Requires="x14">
            <control shapeId="7529" r:id="rId5" name="Drop Down 361">
              <controlPr defaultSize="0" autoLine="0" autoPict="0">
                <anchor moveWithCells="1">
                  <from>
                    <xdr:col>13</xdr:col>
                    <xdr:colOff>22860</xdr:colOff>
                    <xdr:row>13</xdr:row>
                    <xdr:rowOff>53340</xdr:rowOff>
                  </from>
                  <to>
                    <xdr:col>15</xdr:col>
                    <xdr:colOff>510540</xdr:colOff>
                    <xdr:row>14</xdr:row>
                    <xdr:rowOff>129540</xdr:rowOff>
                  </to>
                </anchor>
              </controlPr>
            </control>
          </mc:Choice>
        </mc:AlternateContent>
        <mc:AlternateContent xmlns:mc="http://schemas.openxmlformats.org/markup-compatibility/2006">
          <mc:Choice Requires="x14">
            <control shapeId="7572" r:id="rId6" name="Drop Down 404">
              <controlPr defaultSize="0" autoLine="0" autoPict="0">
                <anchor moveWithCells="1">
                  <from>
                    <xdr:col>19</xdr:col>
                    <xdr:colOff>822960</xdr:colOff>
                    <xdr:row>11</xdr:row>
                    <xdr:rowOff>182880</xdr:rowOff>
                  </from>
                  <to>
                    <xdr:col>22</xdr:col>
                    <xdr:colOff>114300</xdr:colOff>
                    <xdr:row>13</xdr:row>
                    <xdr:rowOff>121920</xdr:rowOff>
                  </to>
                </anchor>
              </controlPr>
            </control>
          </mc:Choice>
        </mc:AlternateContent>
        <mc:AlternateContent xmlns:mc="http://schemas.openxmlformats.org/markup-compatibility/2006">
          <mc:Choice Requires="x14">
            <control shapeId="7575" r:id="rId7" name="Drop Down 407">
              <controlPr defaultSize="0" autoLine="0" autoPict="0">
                <anchor moveWithCells="1">
                  <from>
                    <xdr:col>23</xdr:col>
                    <xdr:colOff>30480</xdr:colOff>
                    <xdr:row>11</xdr:row>
                    <xdr:rowOff>167640</xdr:rowOff>
                  </from>
                  <to>
                    <xdr:col>25</xdr:col>
                    <xdr:colOff>365760</xdr:colOff>
                    <xdr:row>13</xdr:row>
                    <xdr:rowOff>106680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disablePrompts="1" count="1">
        <x14:dataValidation type="whole" operator="greaterThanOrEqual" allowBlank="1" showInputMessage="1" showErrorMessage="1" xr:uid="{5C16CC30-80F3-4085-AD38-E7F1F06FD846}">
          <x14:formula1>
            <xm:f>YEAR(calculation!D7)</xm:f>
          </x14:formula1>
          <xm:sqref>S11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39B9C-9DD7-4F96-905C-67E79B81D654}">
  <dimension ref="B1:BQ98"/>
  <sheetViews>
    <sheetView topLeftCell="O1" zoomScale="93" zoomScaleNormal="61" workbookViewId="0">
      <selection activeCell="T60" sqref="T60"/>
    </sheetView>
  </sheetViews>
  <sheetFormatPr defaultRowHeight="14.4" x14ac:dyDescent="0.3"/>
  <cols>
    <col min="2" max="2" width="9" bestFit="1" customWidth="1"/>
    <col min="3" max="3" width="18.44140625" customWidth="1"/>
    <col min="4" max="4" width="14.109375" customWidth="1"/>
    <col min="5" max="5" width="10.88671875" bestFit="1" customWidth="1"/>
    <col min="6" max="6" width="18.5546875" customWidth="1"/>
    <col min="7" max="7" width="10.88671875" customWidth="1"/>
    <col min="8" max="8" width="11" style="44" bestFit="1" customWidth="1"/>
    <col min="10" max="10" width="13.5546875" customWidth="1"/>
    <col min="11" max="11" width="13" style="44" customWidth="1"/>
    <col min="12" max="12" width="17.88671875" customWidth="1"/>
    <col min="13" max="13" width="17.88671875" style="44" customWidth="1"/>
    <col min="14" max="14" width="17.88671875" customWidth="1"/>
    <col min="15" max="15" width="9" bestFit="1" customWidth="1"/>
    <col min="16" max="16" width="29.33203125" customWidth="1"/>
    <col min="17" max="17" width="27.88671875" customWidth="1"/>
    <col min="18" max="18" width="13.6640625" bestFit="1" customWidth="1"/>
    <col min="20" max="20" width="13.6640625" bestFit="1" customWidth="1"/>
    <col min="21" max="21" width="17.44140625" bestFit="1" customWidth="1"/>
    <col min="22" max="22" width="16.6640625" bestFit="1" customWidth="1"/>
    <col min="23" max="23" width="18.33203125" bestFit="1" customWidth="1"/>
    <col min="24" max="24" width="12.21875" customWidth="1"/>
    <col min="25" max="25" width="9" bestFit="1" customWidth="1"/>
    <col min="27" max="27" width="9" bestFit="1" customWidth="1"/>
    <col min="29" max="29" width="23.109375" customWidth="1"/>
    <col min="30" max="30" width="10.44140625" bestFit="1" customWidth="1"/>
    <col min="31" max="33" width="9" bestFit="1" customWidth="1"/>
    <col min="34" max="34" width="11.21875" customWidth="1"/>
    <col min="35" max="35" width="27.77734375" customWidth="1"/>
    <col min="36" max="36" width="24.21875" customWidth="1"/>
    <col min="37" max="39" width="9" bestFit="1" customWidth="1"/>
    <col min="41" max="44" width="9" bestFit="1" customWidth="1"/>
    <col min="47" max="47" width="16.5546875" customWidth="1"/>
    <col min="48" max="48" width="12.88671875" customWidth="1"/>
    <col min="50" max="50" width="11" bestFit="1" customWidth="1"/>
    <col min="51" max="51" width="11.6640625" bestFit="1" customWidth="1"/>
    <col min="52" max="52" width="9.109375" bestFit="1" customWidth="1"/>
    <col min="53" max="53" width="9.6640625" bestFit="1" customWidth="1"/>
    <col min="54" max="55" width="9.109375" bestFit="1" customWidth="1"/>
    <col min="56" max="56" width="14.5546875" customWidth="1"/>
    <col min="57" max="57" width="13" customWidth="1"/>
    <col min="58" max="58" width="13.88671875" customWidth="1"/>
    <col min="59" max="59" width="14.77734375" customWidth="1"/>
    <col min="60" max="60" width="20" customWidth="1"/>
    <col min="61" max="61" width="13" customWidth="1"/>
    <col min="62" max="63" width="9" bestFit="1" customWidth="1"/>
    <col min="65" max="65" width="11.77734375" bestFit="1" customWidth="1"/>
    <col min="66" max="66" width="11.21875" bestFit="1" customWidth="1"/>
    <col min="67" max="70" width="9" bestFit="1" customWidth="1"/>
    <col min="71" max="71" width="10.5546875" bestFit="1" customWidth="1"/>
    <col min="72" max="72" width="11.33203125" customWidth="1"/>
    <col min="73" max="77" width="9" bestFit="1" customWidth="1"/>
    <col min="78" max="78" width="9" customWidth="1"/>
    <col min="80" max="80" width="11.88671875" customWidth="1"/>
    <col min="81" max="81" width="22.88671875" customWidth="1"/>
    <col min="82" max="83" width="16.77734375" customWidth="1"/>
    <col min="84" max="84" width="20" customWidth="1"/>
    <col min="85" max="85" width="29.6640625" customWidth="1"/>
    <col min="86" max="86" width="18.33203125" customWidth="1"/>
    <col min="87" max="87" width="21.6640625" customWidth="1"/>
  </cols>
  <sheetData>
    <row r="1" spans="2:69" x14ac:dyDescent="0.3">
      <c r="H1"/>
      <c r="K1" s="7"/>
      <c r="M1"/>
    </row>
    <row r="2" spans="2:69" x14ac:dyDescent="0.3">
      <c r="B2" s="1" t="s">
        <v>105</v>
      </c>
      <c r="C2" s="2"/>
      <c r="D2" s="2"/>
      <c r="H2"/>
      <c r="K2" s="7"/>
      <c r="M2"/>
    </row>
    <row r="3" spans="2:69" x14ac:dyDescent="0.3">
      <c r="C3" t="s">
        <v>106</v>
      </c>
      <c r="D3">
        <v>1</v>
      </c>
      <c r="H3"/>
      <c r="K3"/>
      <c r="M3"/>
      <c r="AI3" s="7"/>
      <c r="AU3" s="1" t="s">
        <v>271</v>
      </c>
      <c r="AV3" s="2"/>
      <c r="AW3" s="2"/>
      <c r="AX3" s="2"/>
      <c r="AY3" s="2"/>
      <c r="AZ3" s="2"/>
      <c r="BA3" s="2"/>
      <c r="BB3" s="2"/>
      <c r="BC3" s="2"/>
      <c r="BD3" s="2"/>
    </row>
    <row r="4" spans="2:69" x14ac:dyDescent="0.3">
      <c r="C4" t="s">
        <v>258</v>
      </c>
      <c r="D4">
        <v>1</v>
      </c>
      <c r="H4"/>
      <c r="J4" s="7"/>
      <c r="K4"/>
      <c r="M4"/>
      <c r="AU4" s="24" t="s">
        <v>282</v>
      </c>
      <c r="AV4" s="24"/>
    </row>
    <row r="5" spans="2:69" x14ac:dyDescent="0.3">
      <c r="C5" t="s">
        <v>351</v>
      </c>
      <c r="D5">
        <v>6</v>
      </c>
      <c r="E5" s="7"/>
      <c r="F5" s="7"/>
      <c r="G5" s="7"/>
      <c r="H5"/>
      <c r="K5" s="7"/>
      <c r="L5" s="7"/>
      <c r="AI5" s="17" t="s">
        <v>260</v>
      </c>
      <c r="AJ5" s="17" t="str" cm="1">
        <f t="array" ref="AJ5">"Distribution Topic Period: "&amp;IF(D6&lt;&gt;1,INDEX($H$23:$H$34,$D$6-1,)&amp;" ","")&amp;INDEX(_xlfn.ANCHORARRAY($H$36),$D$5)</f>
        <v>Distribution Topic Period: February 2024</v>
      </c>
      <c r="AU5" s="17" t="s">
        <v>278</v>
      </c>
      <c r="AV5" s="17">
        <f>COUNTIFS(TableTrend[rating_sum],"="&amp;"")</f>
        <v>0</v>
      </c>
      <c r="BF5" s="5"/>
    </row>
    <row r="6" spans="2:69" x14ac:dyDescent="0.3">
      <c r="C6" t="s">
        <v>352</v>
      </c>
      <c r="D6">
        <v>3</v>
      </c>
      <c r="E6" s="7"/>
      <c r="F6" s="1" t="s">
        <v>283</v>
      </c>
      <c r="G6" s="2"/>
      <c r="H6"/>
      <c r="J6" s="1" t="s">
        <v>111</v>
      </c>
      <c r="K6" s="2"/>
      <c r="L6" s="2"/>
      <c r="M6" s="2"/>
      <c r="N6" s="2"/>
      <c r="O6" s="2"/>
      <c r="P6" s="2"/>
      <c r="Q6" s="2"/>
      <c r="R6" s="2"/>
      <c r="S6" s="2"/>
      <c r="T6" s="2"/>
      <c r="U6" s="2"/>
      <c r="V6" s="2"/>
      <c r="W6" s="2"/>
      <c r="X6" s="2"/>
      <c r="Y6" s="2"/>
      <c r="Z6" s="2"/>
      <c r="AA6" s="2"/>
      <c r="AB6" s="2"/>
      <c r="AC6" s="2"/>
      <c r="AD6" s="2"/>
      <c r="AE6" s="2"/>
      <c r="AF6" s="2"/>
      <c r="AG6" s="2"/>
      <c r="AI6" s="1" t="s">
        <v>259</v>
      </c>
      <c r="AJ6" s="2"/>
      <c r="AK6" s="2"/>
      <c r="AL6" s="2"/>
      <c r="AM6" s="2"/>
      <c r="AN6" s="2"/>
      <c r="AO6" s="2"/>
      <c r="AP6" s="2"/>
      <c r="AQ6" s="2"/>
      <c r="AR6" s="2"/>
      <c r="AU6" s="17" t="s">
        <v>279</v>
      </c>
      <c r="AV6" s="17">
        <f>ROWS(TableTrend[rating_sum])</f>
        <v>66</v>
      </c>
    </row>
    <row r="7" spans="2:69" x14ac:dyDescent="0.3">
      <c r="D7" s="7"/>
      <c r="E7" s="7"/>
      <c r="F7" s="7" t="str" cm="1">
        <f t="array" ref="F7">"Sentiment Poisitive Rate Period: "&amp;INDEX(_xlfn.ANCHORARRAY($H$36),$D$5)</f>
        <v>Sentiment Poisitive Rate Period: 2024</v>
      </c>
      <c r="H7" s="13" cm="1">
        <f t="array" ref="H7">SUMIFS(TableTrend[positive],TableTrend[year],"="&amp;DATE(INDEX(_xlfn.ANCHORARRAY($H$36),$D$5),1,1))/SUMIFS(TableTrend[total],TableTrend[year],"="&amp;DATE(INDEX(_xlfn.ANCHORARRAY($H$36),$D$5),1,1))</f>
        <v>0.29464285714285715</v>
      </c>
      <c r="J7" s="12" t="s">
        <v>1</v>
      </c>
      <c r="K7" s="10" t="s">
        <v>112</v>
      </c>
      <c r="L7" s="18"/>
      <c r="M7" s="10" t="s">
        <v>112</v>
      </c>
      <c r="N7" s="10" t="s">
        <v>115</v>
      </c>
      <c r="O7" s="10" t="s">
        <v>114</v>
      </c>
      <c r="P7" s="10" t="s">
        <v>113</v>
      </c>
      <c r="Q7" s="11" t="s">
        <v>116</v>
      </c>
      <c r="R7" s="16" t="s">
        <v>269</v>
      </c>
      <c r="S7" s="19"/>
      <c r="T7" s="16" t="s">
        <v>270</v>
      </c>
      <c r="U7" s="16" t="s">
        <v>112</v>
      </c>
      <c r="V7" s="16" t="s">
        <v>115</v>
      </c>
      <c r="W7" s="16" t="s">
        <v>114</v>
      </c>
      <c r="X7" s="16" t="s">
        <v>113</v>
      </c>
      <c r="Y7" s="16" t="s">
        <v>116</v>
      </c>
      <c r="Z7" s="19"/>
      <c r="AC7" s="29" t="s">
        <v>112</v>
      </c>
      <c r="AD7" s="29" t="s">
        <v>115</v>
      </c>
      <c r="AE7" s="29" t="s">
        <v>114</v>
      </c>
      <c r="AF7" s="29" t="s">
        <v>113</v>
      </c>
      <c r="AG7" s="29" t="s">
        <v>116</v>
      </c>
      <c r="AI7" t="s">
        <v>108</v>
      </c>
      <c r="AJ7" t="s">
        <v>115</v>
      </c>
      <c r="AK7" t="s">
        <v>114</v>
      </c>
      <c r="AL7" t="s">
        <v>113</v>
      </c>
      <c r="AM7" t="s">
        <v>116</v>
      </c>
      <c r="AN7" t="s">
        <v>274</v>
      </c>
      <c r="AO7" t="s">
        <v>261</v>
      </c>
      <c r="AP7" t="s">
        <v>262</v>
      </c>
      <c r="AQ7" t="s">
        <v>263</v>
      </c>
      <c r="AR7" t="s">
        <v>264</v>
      </c>
      <c r="AU7" s="25" t="s">
        <v>280</v>
      </c>
      <c r="AV7" s="25">
        <f>IF($AV$5&lt;&gt;$AV$6,1,0)</f>
        <v>1</v>
      </c>
      <c r="AW7" t="s">
        <v>366</v>
      </c>
      <c r="BJ7" s="22"/>
      <c r="BK7" s="22"/>
      <c r="BL7" s="22"/>
      <c r="BQ7" s="22"/>
    </row>
    <row r="8" spans="2:69" x14ac:dyDescent="0.3">
      <c r="D8" s="7"/>
      <c r="F8" t="str" cm="1">
        <f t="array" ref="F8">"Sentiment Negative Rate Period: "&amp;INDEX(_xlfn.ANCHORARRAY($H$36),$D$5)</f>
        <v>Sentiment Negative Rate Period: 2024</v>
      </c>
      <c r="H8" s="13" cm="1">
        <f t="array" ref="H8">SUMIFS(TableTrend[negative],TableTrend[year],"="&amp;DATE(INDEX(_xlfn.ANCHORARRAY($H$36),$D$5),1,1))/SUMIFS(TableTrend[total],TableTrend[year],"="&amp;DATE(INDEX(_xlfn.ANCHORARRAY($H$36),$D$5),1,1))</f>
        <v>0.5446428571428571</v>
      </c>
      <c r="J8" s="7"/>
      <c r="K8" s="54"/>
      <c r="L8" s="9"/>
      <c r="M8" s="54" t="str" cm="1">
        <f t="array" ref="M8:M58">INDEX(TableTopicAspect[],,MATCH(INDEX(calculation!$C$22:$C$28,calculation!$D$3),TableTopicAspect[#Headers],0))</f>
        <v>food</v>
      </c>
      <c r="N8" s="8" cm="1">
        <f t="array" ref="N8">IF($D$6&lt;&gt;1,SUMIFS(TableAspect[positive],TableAspect[aspect],"="&amp;$M8,TableAspect[month],"="&amp;DATE(INDEX(_xlfn.ANCHORARRAY($H$36),$D$5),$D$6-1,1)),SUMIFS(TableAspect[positive],TableAspect[aspect],"="&amp;$M8,TableAspect[year],"="&amp;DATE(INDEX(_xlfn.ANCHORARRAY($H$36),$D$5),1,1)))</f>
        <v>0</v>
      </c>
      <c r="O8" s="8" cm="1">
        <f t="array" ref="O8">IF($D$6&lt;&gt;1,SUMIFS(TableAspect[neutral],TableAspect[aspect],"="&amp;$M8,TableAspect[month],"="&amp;DATE(INDEX(_xlfn.ANCHORARRAY($H$36),$D$5),$D$6-1,1)),SUMIFS(TableAspect[neutral],TableAspect[aspect],"="&amp;$M8,TableAspect[year],"="&amp;DATE(INDEX(_xlfn.ANCHORARRAY($H$36),$D$5),1,1)))</f>
        <v>0</v>
      </c>
      <c r="P8" s="8" cm="1">
        <f t="array" ref="P8">IF($D$6&lt;&gt;1,SUMIFS(TableAspect[negative],TableAspect[aspect],"="&amp;$M8,TableAspect[month],"="&amp;DATE(INDEX(_xlfn.ANCHORARRAY($H$36),$D$5),$D$6-1,1)),SUMIFS(TableAspect[negative],TableAspect[aspect],"="&amp;$M8,TableAspect[year],"="&amp;DATE(INDEX(_xlfn.ANCHORARRAY($H$36),$D$5),1,1)))</f>
        <v>0</v>
      </c>
      <c r="Q8" cm="1">
        <f t="array" ref="Q8">IF($D$6&lt;&gt;1,SUMIFS(TableAspect[total],TableAspect[aspect],"="&amp;$M8,TableAspect[month],"="&amp;DATE(INDEX(_xlfn.ANCHORARRAY($H$36),$D$5),$D$6-1,1)),SUMIFS(TableAspect[total],TableAspect[aspect],"="&amp;$M8,TableAspect[year],"="&amp;DATE(INDEX(_xlfn.ANCHORARRAY($H$36),$D$5),1,1)))</f>
        <v>0</v>
      </c>
      <c r="R8">
        <f>IF(M8&lt;&gt;0,Q8+(COUNTIFS($Q$8:Q8,Q8) - 1) * 0.000000001,"")</f>
        <v>0</v>
      </c>
      <c r="T8">
        <f>IFERROR(LARGE($R$8:$R$1048505,ROW()-ROW($T$7)),"")</f>
        <v>1.0000000010000001</v>
      </c>
      <c r="U8" t="str">
        <f>IFERROR(INDEX($M$8:$M$1048505,MATCH(T8,$R$8:$R$1048505,0)),"")</f>
        <v>oreo mcry</v>
      </c>
      <c r="V8">
        <f>IFERROR(INDEX($N$8:$N$1048505,MATCH(T8,$R$8:$R$1048505,0)),"")</f>
        <v>0</v>
      </c>
      <c r="W8">
        <f>IFERROR(INDEX($O$8:$O$1048505,MATCH(T8,$R$8:$R$1048505,0)),"")</f>
        <v>1</v>
      </c>
      <c r="X8">
        <f>IFERROR(INDEX($P$8:$P$1048505,MATCH(T8,$R$8:$R$1048505,0)),"")</f>
        <v>0</v>
      </c>
      <c r="Y8">
        <f>IFERROR(INDEX($Q$8:$Q$1048505,MATCH(T8,$R$8:$R$1048505,0)),"")</f>
        <v>1</v>
      </c>
      <c r="Z8" s="17" t="s">
        <v>255</v>
      </c>
      <c r="AA8" s="17"/>
      <c r="AC8" s="30" t="str" cm="1">
        <f t="array" ref="AC8">IFERROR(IF(INDEX(U8:$U$1048505,$D$4,)=0,"",INDEX(U8:$U$1048505,$D$4,)),"")</f>
        <v>oreo mcry</v>
      </c>
      <c r="AD8" s="31" t="str" cm="1">
        <f t="array" ref="AD8">IFERROR(IF(INDEX(V8:$V$1048505,$D$4,)=0,"",INDEX(V8:$V$1048505,$D$4,)),"")</f>
        <v/>
      </c>
      <c r="AE8" s="31" cm="1">
        <f t="array" ref="AE8">IFERROR(IF(INDEX(W8:$W$1048505,$D$4,)=0,"",INDEX(W8:$W$1048505,$D$4,)),"")</f>
        <v>1</v>
      </c>
      <c r="AF8" s="31" t="str" cm="1">
        <f t="array" ref="AF8">IFERROR(IF(INDEX(X8:$X$1048505,$D$4,)=0,"",INDEX(X8:$X$1048505,$D$4,)),"")</f>
        <v/>
      </c>
      <c r="AG8" s="31" cm="1">
        <f t="array" ref="AG8">IFERROR(IF(INDEX(Y8:$Y$1048505,$D$4,)=0,"",INDEX(Y8:$Y$1048505,$D$4,)),"")</f>
        <v>1</v>
      </c>
      <c r="AI8" t="str">
        <f t="shared" ref="AI8:AI14" si="0">C22</f>
        <v>Food and Menu Items</v>
      </c>
      <c r="AJ8" cm="1">
        <f t="array" ref="AJ8">IF($D$6&lt;&gt;1,SUMIFS(TableTrend[positive],TableTrend[topic],"="&amp;$AI8,TableTrend[month],"="&amp;DATE(INDEX(_xlfn.ANCHORARRAY($H$36),$D$5,),$D$6-1,1)),SUMIFS(TableTrend[positive],TableTrend[topic],"="&amp;$AI8,TableTrend[year],"="&amp;DATE(INDEX(_xlfn.ANCHORARRAY($H$36),$D$5,),1,1)))</f>
        <v>0</v>
      </c>
      <c r="AK8" cm="1">
        <f t="array" ref="AK8">IF($D$6&lt;&gt;1,SUMIFS(TableTrend[neutral],TableTrend[topic],"="&amp;$AI8,TableTrend[month],"="&amp;DATE(INDEX(_xlfn.ANCHORARRAY($H$36),$D$5,),$D$6-1,1)),SUMIFS(TableTrend[neutral],TableTrend[topic],"="&amp;$AI8,TableTrend[year],"="&amp;DATE(INDEX(_xlfn.ANCHORARRAY($H$36),$D$5,),1,1)))</f>
        <v>1</v>
      </c>
      <c r="AL8" cm="1">
        <f t="array" ref="AL8">IF($D$6&lt;&gt;1,SUMIFS(TableTrend[negative],TableTrend[topic],"="&amp;$AI8,TableTrend[month],"="&amp;DATE(INDEX(_xlfn.ANCHORARRAY($H$36),$D$5,),$D$6-1,1)),SUMIFS(TableTrend[negative],TableTrend[topic],"="&amp;$AI8,TableTrend[year],"="&amp;DATE(INDEX(_xlfn.ANCHORARRAY($H$36),$D$5,),1,1)))</f>
        <v>1</v>
      </c>
      <c r="AM8" cm="1">
        <f t="array" ref="AM8">IF($D$6&lt;&gt;1,SUMIFS(TableTrend[total],TableTrend[topic],"="&amp;$AI8,TableTrend[month],"="&amp;DATE(INDEX(_xlfn.ANCHORARRAY($H$36),$D$5,),$D$6-1,1)),SUMIFS(TableTrend[total],TableTrend[topic],"="&amp;$AI8,TableTrend[year],"="&amp;DATE(INDEX(_xlfn.ANCHORARRAY($H$36),$D$5,),1,1)))</f>
        <v>2</v>
      </c>
      <c r="AN8">
        <f>IF(AM8&lt;&gt;0,AM8,"")</f>
        <v>2</v>
      </c>
      <c r="AO8">
        <v>0.25</v>
      </c>
      <c r="AP8" s="13" t="str">
        <f>IFERROR(IF(AND(AJ8/AM8 &gt; 0.1, AJ8/AM8 &lt;&gt; 1),AJ8/AM8,""), "")</f>
        <v/>
      </c>
      <c r="AQ8" s="13">
        <f>IFERROR(IF(AND(AK8/AM8 &gt; 0.1, AK8/AM8 &lt;&gt; 1),AK8/AM8,""), "")</f>
        <v>0.5</v>
      </c>
      <c r="AR8" s="13">
        <f>IFERROR(IF(AND(AL8/AM8 &gt; 0.1, AL8/AM8 &lt;&gt; 1),AL8/AM8,""), "")</f>
        <v>0.5</v>
      </c>
      <c r="AU8" s="17" t="s">
        <v>281</v>
      </c>
      <c r="AV8" s="17" t="str" cm="1">
        <f t="array" ref="AV8">"Trend Sentiment "&amp;CHOOSE($D$13,"","and Rating ")&amp;"Topic: "&amp;INDEX($C$22:$C$28,$D$3)&amp;" (Period: "&amp;IF($D$6&lt;&gt;1,INDEX($H$23:$H$34,$D$6-1)&amp;" ","")&amp;INDEX(_xlfn.ANCHORARRAY($H$36),$D$5)&amp;")"</f>
        <v>Trend Sentiment Topic: Food and Menu Items (Period: February 2024)</v>
      </c>
      <c r="BJ8" s="22"/>
      <c r="BK8" s="22"/>
      <c r="BL8" s="22"/>
      <c r="BQ8" s="22"/>
    </row>
    <row r="9" spans="2:69" x14ac:dyDescent="0.3">
      <c r="C9" t="s">
        <v>110</v>
      </c>
      <c r="D9" s="7"/>
      <c r="F9" t="str" cm="1">
        <f t="array" ref="F9">"Sentiment Neutral Rate Period: "&amp;INDEX(_xlfn.ANCHORARRAY($H$36),$D$5)</f>
        <v>Sentiment Neutral Rate Period: 2024</v>
      </c>
      <c r="H9" s="13" cm="1">
        <f t="array" ref="H9">SUMIFS(TableTrend[neutral],TableTrend[year],"="&amp;DATE(INDEX(_xlfn.ANCHORARRAY($H$36),$D$5),1,1))/SUMIFS(TableTrend[total],TableTrend[year],"="&amp;DATE(INDEX(_xlfn.ANCHORARRAY($H$36),$D$5),1,1))</f>
        <v>0.16071428571428573</v>
      </c>
      <c r="J9" s="9"/>
      <c r="K9" s="54"/>
      <c r="L9" s="9"/>
      <c r="M9" s="54" t="str">
        <v>fast food</v>
      </c>
      <c r="N9" s="8" cm="1">
        <f t="array" ref="N9">IF($D$6&lt;&gt;1,SUMIFS(TableAspect[positive],TableAspect[aspect],"="&amp;$M9,TableAspect[month],"="&amp;DATE(INDEX(_xlfn.ANCHORARRAY($H$36),$D$5),$D$6-1,1)),SUMIFS(TableAspect[positive],TableAspect[aspect],"="&amp;$M9,TableAspect[year],"="&amp;DATE(INDEX(_xlfn.ANCHORARRAY($H$36),$D$5),1,1)))</f>
        <v>0</v>
      </c>
      <c r="O9" s="8" cm="1">
        <f t="array" ref="O9">IF($D$6&lt;&gt;1,SUMIFS(TableAspect[neutral],TableAspect[aspect],"="&amp;$M9,TableAspect[month],"="&amp;DATE(INDEX(_xlfn.ANCHORARRAY($H$36),$D$5),$D$6-1,1)),SUMIFS(TableAspect[neutral],TableAspect[aspect],"="&amp;$M9,TableAspect[year],"="&amp;DATE(INDEX(_xlfn.ANCHORARRAY($H$36),$D$5),1,1)))</f>
        <v>0</v>
      </c>
      <c r="P9" s="8" cm="1">
        <f t="array" ref="P9">IF($D$6&lt;&gt;1,SUMIFS(TableAspect[negative],TableAspect[aspect],"="&amp;$M9,TableAspect[month],"="&amp;DATE(INDEX(_xlfn.ANCHORARRAY($H$36),$D$5),$D$6-1,1)),SUMIFS(TableAspect[negative],TableAspect[aspect],"="&amp;$M9,TableAspect[year],"="&amp;DATE(INDEX(_xlfn.ANCHORARRAY($H$36),$D$5),1,1)))</f>
        <v>0</v>
      </c>
      <c r="Q9" cm="1">
        <f t="array" ref="Q9">IF($D$6&lt;&gt;1,SUMIFS(TableAspect[total],TableAspect[aspect],"="&amp;$M9,TableAspect[month],"="&amp;DATE(INDEX(_xlfn.ANCHORARRAY($H$36),$D$5),$D$6-1,1)),SUMIFS(TableAspect[total],TableAspect[aspect],"="&amp;$M9,TableAspect[year],"="&amp;DATE(INDEX(_xlfn.ANCHORARRAY($H$36),$D$5),1,1)))</f>
        <v>0</v>
      </c>
      <c r="R9">
        <f>IF(M9&lt;&gt;0,Q9+(COUNTIFS($Q$8:Q9,Q9) - 1) * 0.000000001,"")</f>
        <v>1.0000000000000001E-9</v>
      </c>
      <c r="T9">
        <f t="shared" ref="T9:T72" si="1">IFERROR(LARGE($R$8:$R$1048505,ROW()-ROW($T$7)),"")</f>
        <v>1</v>
      </c>
      <c r="U9" t="str">
        <f t="shared" ref="U9:U72" si="2">IFERROR(INDEX($M$8:$M$1048505,MATCH(T9,$R$8:$R$1048505,0)),"")</f>
        <v>ice cream</v>
      </c>
      <c r="V9">
        <f t="shared" ref="V9:V72" si="3">IFERROR(INDEX($N$8:$N$1048505,MATCH(T9,$R$8:$R$1048505,0)),"")</f>
        <v>0</v>
      </c>
      <c r="W9">
        <f t="shared" ref="W9:W72" si="4">IFERROR(INDEX($O$8:$O$1048505,MATCH(T9,$R$8:$R$1048505,0)),"")</f>
        <v>0</v>
      </c>
      <c r="X9">
        <f t="shared" ref="X9:X72" si="5">IFERROR(INDEX($P$8:$P$1048505,MATCH(T9,$R$8:$R$1048505,0)),"")</f>
        <v>1</v>
      </c>
      <c r="Y9">
        <f t="shared" ref="Y9:Y72" si="6">IFERROR(INDEX($Q$8:$Q$1048505,MATCH(T9,$R$8:$R$1048505,0)),"")</f>
        <v>1</v>
      </c>
      <c r="Z9" s="17" t="s">
        <v>256</v>
      </c>
      <c r="AA9" s="17">
        <f>Y8 + 3</f>
        <v>4</v>
      </c>
      <c r="AC9" s="30" t="str" cm="1">
        <f t="array" ref="AC9">IFERROR(IF(INDEX(U9:$U$1048505,$D$4,)=0,"",INDEX(U9:$U$1048505,$D$4,)),"")</f>
        <v>ice cream</v>
      </c>
      <c r="AD9" s="31" t="str" cm="1">
        <f t="array" ref="AD9">IFERROR(IF(INDEX(V9:$V$1048505,$D$4,)=0,"",INDEX(V9:$V$1048505,$D$4,)),"")</f>
        <v/>
      </c>
      <c r="AE9" s="31" t="str" cm="1">
        <f t="array" ref="AE9">IFERROR(IF(INDEX(W9:$W$1048505,$D$4,)=0,"",INDEX(W9:$W$1048505,$D$4,)),"")</f>
        <v/>
      </c>
      <c r="AF9" s="31" cm="1">
        <f t="array" ref="AF9">IFERROR(IF(INDEX(X9:$X$1048505,$D$4,)=0,"",INDEX(X9:$X$1048505,$D$4,)),"")</f>
        <v>1</v>
      </c>
      <c r="AG9" s="31" cm="1">
        <f t="array" ref="AG9">IFERROR(IF(INDEX(Y9:$Y$1048505,$D$4,)=0,"",INDEX(Y9:$Y$1048505,$D$4,)),"")</f>
        <v>1</v>
      </c>
      <c r="AI9" t="str">
        <f t="shared" si="0"/>
        <v>Condiments</v>
      </c>
      <c r="AJ9" cm="1">
        <f t="array" ref="AJ9">IF($D$6&lt;&gt;1,SUMIFS(TableTrend[positive],TableTrend[topic],"="&amp;$AI9,TableTrend[month],"="&amp;DATE(INDEX(_xlfn.ANCHORARRAY($H$36),$D$5,),$D$6-1,1)),SUMIFS(TableTrend[positive],TableTrend[topic],"="&amp;$AI9,TableTrend[year],"="&amp;DATE(INDEX(_xlfn.ANCHORARRAY($H$36),$D$5,),1,1)))</f>
        <v>0</v>
      </c>
      <c r="AK9" cm="1">
        <f t="array" ref="AK9">IF($D$6&lt;&gt;1,SUMIFS(TableTrend[neutral],TableTrend[topic],"="&amp;$AI9,TableTrend[month],"="&amp;DATE(INDEX(_xlfn.ANCHORARRAY($H$36),$D$5,),$D$6-1,1)),SUMIFS(TableTrend[neutral],TableTrend[topic],"="&amp;$AI9,TableTrend[year],"="&amp;DATE(INDEX(_xlfn.ANCHORARRAY($H$36),$D$5,),1,1)))</f>
        <v>0</v>
      </c>
      <c r="AL9" cm="1">
        <f t="array" ref="AL9">IF($D$6&lt;&gt;1,SUMIFS(TableTrend[negative],TableTrend[topic],"="&amp;$AI9,TableTrend[month],"="&amp;DATE(INDEX(_xlfn.ANCHORARRAY($H$36),$D$5,),$D$6-1,1)),SUMIFS(TableTrend[negative],TableTrend[topic],"="&amp;$AI9,TableTrend[year],"="&amp;DATE(INDEX(_xlfn.ANCHORARRAY($H$36),$D$5,),1,1)))</f>
        <v>1</v>
      </c>
      <c r="AM9" cm="1">
        <f t="array" ref="AM9">IF($D$6&lt;&gt;1,SUMIFS(TableTrend[total],TableTrend[topic],"="&amp;$AI9,TableTrend[month],"="&amp;DATE(INDEX(_xlfn.ANCHORARRAY($H$36),$D$5,),$D$6-1,1)),SUMIFS(TableTrend[total],TableTrend[topic],"="&amp;$AI9,TableTrend[year],"="&amp;DATE(INDEX(_xlfn.ANCHORARRAY($H$36),$D$5,),1,1)))</f>
        <v>1</v>
      </c>
      <c r="AN9">
        <f t="shared" ref="AN9:AN14" si="7">IF(AM9&lt;&gt;0,AM9,"")</f>
        <v>1</v>
      </c>
      <c r="AO9">
        <v>0.25</v>
      </c>
      <c r="AP9" s="13" t="str">
        <f t="shared" ref="AP9:AP14" si="8">IFERROR(IF(AND(AJ9/AM9 &gt; 0.1, AJ9/AM9 &lt;&gt; 1),AJ9/AM9,""), "")</f>
        <v/>
      </c>
      <c r="AQ9" s="13" t="str">
        <f t="shared" ref="AQ9:AQ14" si="9">IFERROR(IF(AND(AK9/AM9 &gt; 0.1, AK9/AM9 &lt;&gt; 1),AK9/AM9,""), "")</f>
        <v/>
      </c>
      <c r="AR9" s="13" t="str">
        <f t="shared" ref="AR9:AR14" si="10">IFERROR(IF(AND(AL9/AM9 &gt; 0.1, AL9/AM9 &lt;&gt; 1),AL9/AM9,""), "")</f>
        <v/>
      </c>
      <c r="AU9" s="17" t="s">
        <v>368</v>
      </c>
      <c r="AV9" s="17" t="str" cm="1">
        <f t="array" ref="AV9">INDEX($E$22:$E$23,$D$13)</f>
        <v>Frequency</v>
      </c>
      <c r="BJ9" s="22"/>
      <c r="BK9" s="22"/>
      <c r="BL9" s="22"/>
    </row>
    <row r="10" spans="2:69" x14ac:dyDescent="0.3">
      <c r="C10" t="s">
        <v>349</v>
      </c>
      <c r="D10" s="7"/>
      <c r="H10"/>
      <c r="J10" s="9"/>
      <c r="K10" s="54"/>
      <c r="L10" s="9"/>
      <c r="M10" s="54" t="str">
        <v>sandwich</v>
      </c>
      <c r="N10" s="8" cm="1">
        <f t="array" ref="N10">IF($D$6&lt;&gt;1,SUMIFS(TableAspect[positive],TableAspect[aspect],"="&amp;$M10,TableAspect[month],"="&amp;DATE(INDEX(_xlfn.ANCHORARRAY($H$36),$D$5),$D$6-1,1)),SUMIFS(TableAspect[positive],TableAspect[aspect],"="&amp;$M10,TableAspect[year],"="&amp;DATE(INDEX(_xlfn.ANCHORARRAY($H$36),$D$5),1,1)))</f>
        <v>0</v>
      </c>
      <c r="O10" s="8" cm="1">
        <f t="array" ref="O10">IF($D$6&lt;&gt;1,SUMIFS(TableAspect[neutral],TableAspect[aspect],"="&amp;$M10,TableAspect[month],"="&amp;DATE(INDEX(_xlfn.ANCHORARRAY($H$36),$D$5),$D$6-1,1)),SUMIFS(TableAspect[neutral],TableAspect[aspect],"="&amp;$M10,TableAspect[year],"="&amp;DATE(INDEX(_xlfn.ANCHORARRAY($H$36),$D$5),1,1)))</f>
        <v>0</v>
      </c>
      <c r="P10" s="8" cm="1">
        <f t="array" ref="P10">IF($D$6&lt;&gt;1,SUMIFS(TableAspect[negative],TableAspect[aspect],"="&amp;$M10,TableAspect[month],"="&amp;DATE(INDEX(_xlfn.ANCHORARRAY($H$36),$D$5),$D$6-1,1)),SUMIFS(TableAspect[negative],TableAspect[aspect],"="&amp;$M10,TableAspect[year],"="&amp;DATE(INDEX(_xlfn.ANCHORARRAY($H$36),$D$5),1,1)))</f>
        <v>0</v>
      </c>
      <c r="Q10" cm="1">
        <f t="array" ref="Q10">IF($D$6&lt;&gt;1,SUMIFS(TableAspect[total],TableAspect[aspect],"="&amp;$M10,TableAspect[month],"="&amp;DATE(INDEX(_xlfn.ANCHORARRAY($H$36),$D$5),$D$6-1,1)),SUMIFS(TableAspect[total],TableAspect[aspect],"="&amp;$M10,TableAspect[year],"="&amp;DATE(INDEX(_xlfn.ANCHORARRAY($H$36),$D$5),1,1)))</f>
        <v>0</v>
      </c>
      <c r="R10">
        <f>IF(M10&lt;&gt;0,Q10+(COUNTIFS($Q$8:Q10,Q10) - 1) * 0.000000001,"")</f>
        <v>2.0000000000000001E-9</v>
      </c>
      <c r="T10">
        <f t="shared" si="1"/>
        <v>4.8000000000000006E-8</v>
      </c>
      <c r="U10" t="str">
        <f t="shared" si="2"/>
        <v>coke</v>
      </c>
      <c r="V10">
        <f t="shared" si="3"/>
        <v>0</v>
      </c>
      <c r="W10">
        <f t="shared" si="4"/>
        <v>0</v>
      </c>
      <c r="X10">
        <f t="shared" si="5"/>
        <v>0</v>
      </c>
      <c r="Y10">
        <f t="shared" si="6"/>
        <v>0</v>
      </c>
      <c r="Z10" s="17" t="s">
        <v>257</v>
      </c>
      <c r="AA10" s="17">
        <v>0</v>
      </c>
      <c r="AC10" s="30" t="str" cm="1">
        <f t="array" ref="AC10">IFERROR(IF(INDEX(U10:$U$1048505,$D$4,)=0,"",INDEX(U10:$U$1048505,$D$4,)),"")</f>
        <v>coke</v>
      </c>
      <c r="AD10" s="31" t="str" cm="1">
        <f t="array" ref="AD10">IFERROR(IF(INDEX(V10:$V$1048505,$D$4,)=0,"",INDEX(V10:$V$1048505,$D$4,)),"")</f>
        <v/>
      </c>
      <c r="AE10" s="31" t="str" cm="1">
        <f t="array" ref="AE10">IFERROR(IF(INDEX(W10:$W$1048505,$D$4,)=0,"",INDEX(W10:$W$1048505,$D$4,)),"")</f>
        <v/>
      </c>
      <c r="AF10" s="31" t="str" cm="1">
        <f t="array" ref="AF10">IFERROR(IF(INDEX(X10:$X$1048505,$D$4,)=0,"",INDEX(X10:$X$1048505,$D$4,)),"")</f>
        <v/>
      </c>
      <c r="AG10" s="31" t="str" cm="1">
        <f t="array" ref="AG10">IFERROR(IF(INDEX(Y10:$Y$1048505,$D$4,)=0,"",INDEX(Y10:$Y$1048505,$D$4,)),"")</f>
        <v/>
      </c>
      <c r="AI10" t="str">
        <f t="shared" si="0"/>
        <v>Packaging</v>
      </c>
      <c r="AJ10" cm="1">
        <f t="array" ref="AJ10">IF($D$6&lt;&gt;1,SUMIFS(TableTrend[positive],TableTrend[topic],"="&amp;$AI10,TableTrend[month],"="&amp;DATE(INDEX(_xlfn.ANCHORARRAY($H$36),$D$5,),$D$6-1,1)),SUMIFS(TableTrend[positive],TableTrend[topic],"="&amp;$AI10,TableTrend[year],"="&amp;DATE(INDEX(_xlfn.ANCHORARRAY($H$36),$D$5,),1,1)))</f>
        <v>0</v>
      </c>
      <c r="AK10" cm="1">
        <f t="array" ref="AK10">IF($D$6&lt;&gt;1,SUMIFS(TableTrend[neutral],TableTrend[topic],"="&amp;$AI10,TableTrend[month],"="&amp;DATE(INDEX(_xlfn.ANCHORARRAY($H$36),$D$5,),$D$6-1,1)),SUMIFS(TableTrend[neutral],TableTrend[topic],"="&amp;$AI10,TableTrend[year],"="&amp;DATE(INDEX(_xlfn.ANCHORARRAY($H$36),$D$5,),1,1)))</f>
        <v>0</v>
      </c>
      <c r="AL10" cm="1">
        <f t="array" ref="AL10">IF($D$6&lt;&gt;1,SUMIFS(TableTrend[negative],TableTrend[topic],"="&amp;$AI10,TableTrend[month],"="&amp;DATE(INDEX(_xlfn.ANCHORARRAY($H$36),$D$5,),$D$6-1,1)),SUMIFS(TableTrend[negative],TableTrend[topic],"="&amp;$AI10,TableTrend[year],"="&amp;DATE(INDEX(_xlfn.ANCHORARRAY($H$36),$D$5,),1,1)))</f>
        <v>0</v>
      </c>
      <c r="AM10" cm="1">
        <f t="array" ref="AM10">IF($D$6&lt;&gt;1,SUMIFS(TableTrend[total],TableTrend[topic],"="&amp;$AI10,TableTrend[month],"="&amp;DATE(INDEX(_xlfn.ANCHORARRAY($H$36),$D$5,),$D$6-1,1)),SUMIFS(TableTrend[total],TableTrend[topic],"="&amp;$AI10,TableTrend[year],"="&amp;DATE(INDEX(_xlfn.ANCHORARRAY($H$36),$D$5,),1,1)))</f>
        <v>0</v>
      </c>
      <c r="AN10" t="str">
        <f t="shared" si="7"/>
        <v/>
      </c>
      <c r="AO10">
        <v>0.25</v>
      </c>
      <c r="AP10" s="13" t="str">
        <f t="shared" si="8"/>
        <v/>
      </c>
      <c r="AQ10" s="13" t="str">
        <f t="shared" si="9"/>
        <v/>
      </c>
      <c r="AR10" s="13" t="str">
        <f t="shared" si="10"/>
        <v/>
      </c>
      <c r="BJ10" s="22"/>
      <c r="BK10" s="22"/>
      <c r="BL10" s="22"/>
    </row>
    <row r="11" spans="2:69" ht="28.8" x14ac:dyDescent="0.3">
      <c r="H11"/>
      <c r="J11" s="9"/>
      <c r="K11" s="54"/>
      <c r="L11" s="9"/>
      <c r="M11" s="54" t="str">
        <v>crispy chicken sandwich</v>
      </c>
      <c r="N11" s="8" cm="1">
        <f t="array" ref="N11">IF($D$6&lt;&gt;1,SUMIFS(TableAspect[positive],TableAspect[aspect],"="&amp;$M11,TableAspect[month],"="&amp;DATE(INDEX(_xlfn.ANCHORARRAY($H$36),$D$5),$D$6-1,1)),SUMIFS(TableAspect[positive],TableAspect[aspect],"="&amp;$M11,TableAspect[year],"="&amp;DATE(INDEX(_xlfn.ANCHORARRAY($H$36),$D$5),1,1)))</f>
        <v>0</v>
      </c>
      <c r="O11" s="8" cm="1">
        <f t="array" ref="O11">IF($D$6&lt;&gt;1,SUMIFS(TableAspect[neutral],TableAspect[aspect],"="&amp;$M11,TableAspect[month],"="&amp;DATE(INDEX(_xlfn.ANCHORARRAY($H$36),$D$5),$D$6-1,1)),SUMIFS(TableAspect[neutral],TableAspect[aspect],"="&amp;$M11,TableAspect[year],"="&amp;DATE(INDEX(_xlfn.ANCHORARRAY($H$36),$D$5),1,1)))</f>
        <v>0</v>
      </c>
      <c r="P11" s="8" cm="1">
        <f t="array" ref="P11">IF($D$6&lt;&gt;1,SUMIFS(TableAspect[negative],TableAspect[aspect],"="&amp;$M11,TableAspect[month],"="&amp;DATE(INDEX(_xlfn.ANCHORARRAY($H$36),$D$5),$D$6-1,1)),SUMIFS(TableAspect[negative],TableAspect[aspect],"="&amp;$M11,TableAspect[year],"="&amp;DATE(INDEX(_xlfn.ANCHORARRAY($H$36),$D$5),1,1)))</f>
        <v>0</v>
      </c>
      <c r="Q11" cm="1">
        <f t="array" ref="Q11">IF($D$6&lt;&gt;1,SUMIFS(TableAspect[total],TableAspect[aspect],"="&amp;$M11,TableAspect[month],"="&amp;DATE(INDEX(_xlfn.ANCHORARRAY($H$36),$D$5),$D$6-1,1)),SUMIFS(TableAspect[total],TableAspect[aspect],"="&amp;$M11,TableAspect[year],"="&amp;DATE(INDEX(_xlfn.ANCHORARRAY($H$36),$D$5),1,1)))</f>
        <v>0</v>
      </c>
      <c r="R11">
        <f>IF(M11&lt;&gt;0,Q11+(COUNTIFS($Q$8:Q11,Q11) - 1) * 0.000000001,"")</f>
        <v>3.0000000000000004E-9</v>
      </c>
      <c r="T11">
        <f t="shared" si="1"/>
        <v>4.7000000000000004E-8</v>
      </c>
      <c r="U11" t="str">
        <f t="shared" si="2"/>
        <v>order</v>
      </c>
      <c r="V11">
        <f t="shared" si="3"/>
        <v>0</v>
      </c>
      <c r="W11">
        <f t="shared" si="4"/>
        <v>0</v>
      </c>
      <c r="X11">
        <f t="shared" si="5"/>
        <v>0</v>
      </c>
      <c r="Y11">
        <f t="shared" si="6"/>
        <v>0</v>
      </c>
      <c r="Z11" s="17" t="s">
        <v>281</v>
      </c>
      <c r="AA11" t="str" cm="1">
        <f t="array" ref="AA11">"Table Frequency Sentiment per Aspect"&amp;" Period: "&amp;IF($D$6&lt;&gt;1,INDEX($H$23:$H$34,$D$6-1)&amp;" ","")&amp;INDEX(_xlfn.ANCHORARRAY($H$36),$D$5)</f>
        <v>Table Frequency Sentiment per Aspect Period: February 2024</v>
      </c>
      <c r="AC11" s="30" t="str" cm="1">
        <f t="array" ref="AC11">IFERROR(IF(INDEX(U11:$U$1048505,$D$4,)=0,"",INDEX(U11:$U$1048505,$D$4,)),"")</f>
        <v>order</v>
      </c>
      <c r="AD11" s="31" t="str" cm="1">
        <f t="array" ref="AD11">IFERROR(IF(INDEX(V11:$V$1048505,$D$4,)=0,"",INDEX(V11:$V$1048505,$D$4,)),"")</f>
        <v/>
      </c>
      <c r="AE11" s="31" t="str" cm="1">
        <f t="array" ref="AE11">IFERROR(IF(INDEX(W11:$W$1048505,$D$4,)=0,"",INDEX(W11:$W$1048505,$D$4,)),"")</f>
        <v/>
      </c>
      <c r="AF11" s="31" t="str" cm="1">
        <f t="array" ref="AF11">IFERROR(IF(INDEX(X11:$X$1048505,$D$4,)=0,"",INDEX(X11:$X$1048505,$D$4,)),"")</f>
        <v/>
      </c>
      <c r="AG11" s="31" t="str" cm="1">
        <f t="array" ref="AG11">IFERROR(IF(INDEX(Y11:$Y$1048505,$D$4,)=0,"",INDEX(Y11:$Y$1048505,$D$4,)),"")</f>
        <v/>
      </c>
      <c r="AI11" t="str">
        <f t="shared" si="0"/>
        <v>Pricing and Value</v>
      </c>
      <c r="AJ11" cm="1">
        <f t="array" ref="AJ11">IF($D$6&lt;&gt;1,SUMIFS(TableTrend[positive],TableTrend[topic],"="&amp;$AI11,TableTrend[month],"="&amp;DATE(INDEX(_xlfn.ANCHORARRAY($H$36),$D$5,),$D$6-1,1)),SUMIFS(TableTrend[positive],TableTrend[topic],"="&amp;$AI11,TableTrend[year],"="&amp;DATE(INDEX(_xlfn.ANCHORARRAY($H$36),$D$5,),1,1)))</f>
        <v>0</v>
      </c>
      <c r="AK11" cm="1">
        <f t="array" ref="AK11">IF($D$6&lt;&gt;1,SUMIFS(TableTrend[neutral],TableTrend[topic],"="&amp;$AI11,TableTrend[month],"="&amp;DATE(INDEX(_xlfn.ANCHORARRAY($H$36),$D$5,),$D$6-1,1)),SUMIFS(TableTrend[neutral],TableTrend[topic],"="&amp;$AI11,TableTrend[year],"="&amp;DATE(INDEX(_xlfn.ANCHORARRAY($H$36),$D$5,),1,1)))</f>
        <v>0</v>
      </c>
      <c r="AL11" cm="1">
        <f t="array" ref="AL11">IF($D$6&lt;&gt;1,SUMIFS(TableTrend[negative],TableTrend[topic],"="&amp;$AI11,TableTrend[month],"="&amp;DATE(INDEX(_xlfn.ANCHORARRAY($H$36),$D$5,),$D$6-1,1)),SUMIFS(TableTrend[negative],TableTrend[topic],"="&amp;$AI11,TableTrend[year],"="&amp;DATE(INDEX(_xlfn.ANCHORARRAY($H$36),$D$5,),1,1)))</f>
        <v>0</v>
      </c>
      <c r="AM11" cm="1">
        <f t="array" ref="AM11">IF($D$6&lt;&gt;1,SUMIFS(TableTrend[total],TableTrend[topic],"="&amp;$AI11,TableTrend[month],"="&amp;DATE(INDEX(_xlfn.ANCHORARRAY($H$36),$D$5,),$D$6-1,1)),SUMIFS(TableTrend[total],TableTrend[topic],"="&amp;$AI11,TableTrend[year],"="&amp;DATE(INDEX(_xlfn.ANCHORARRAY($H$36),$D$5,),1,1)))</f>
        <v>0</v>
      </c>
      <c r="AN11" t="str">
        <f t="shared" si="7"/>
        <v/>
      </c>
      <c r="AO11">
        <v>0.25</v>
      </c>
      <c r="AP11" s="13" t="str">
        <f t="shared" si="8"/>
        <v/>
      </c>
      <c r="AQ11" s="13" t="str">
        <f t="shared" si="9"/>
        <v/>
      </c>
      <c r="AR11" s="13" t="str">
        <f t="shared" si="10"/>
        <v/>
      </c>
      <c r="AU11" s="26"/>
      <c r="AV11" s="26" t="s">
        <v>272</v>
      </c>
      <c r="AW11" s="26" t="s">
        <v>115</v>
      </c>
      <c r="AX11" s="26" t="s">
        <v>114</v>
      </c>
      <c r="AY11" s="26" t="s">
        <v>113</v>
      </c>
      <c r="AZ11" s="26" t="s">
        <v>116</v>
      </c>
      <c r="BA11" s="26" t="s">
        <v>2</v>
      </c>
      <c r="BB11" s="26" t="s">
        <v>262</v>
      </c>
      <c r="BC11" s="26" t="s">
        <v>263</v>
      </c>
      <c r="BD11" s="26" t="s">
        <v>264</v>
      </c>
      <c r="BE11" s="26" t="s">
        <v>367</v>
      </c>
      <c r="BF11" s="26" t="s">
        <v>261</v>
      </c>
      <c r="BJ11" s="22"/>
      <c r="BK11" s="22"/>
      <c r="BL11" s="22"/>
    </row>
    <row r="12" spans="2:69" x14ac:dyDescent="0.3">
      <c r="C12" t="s">
        <v>273</v>
      </c>
      <c r="D12">
        <v>3</v>
      </c>
      <c r="H12"/>
      <c r="J12" s="9"/>
      <c r="L12" s="9"/>
      <c r="M12" s="54" t="str">
        <v>fries</v>
      </c>
      <c r="N12" s="8" cm="1">
        <f t="array" ref="N12">IF($D$6&lt;&gt;1,SUMIFS(TableAspect[positive],TableAspect[aspect],"="&amp;$M12,TableAspect[month],"="&amp;DATE(INDEX(_xlfn.ANCHORARRAY($H$36),$D$5),$D$6-1,1)),SUMIFS(TableAspect[positive],TableAspect[aspect],"="&amp;$M12,TableAspect[year],"="&amp;DATE(INDEX(_xlfn.ANCHORARRAY($H$36),$D$5),1,1)))</f>
        <v>0</v>
      </c>
      <c r="O12" s="8" cm="1">
        <f t="array" ref="O12">IF($D$6&lt;&gt;1,SUMIFS(TableAspect[neutral],TableAspect[aspect],"="&amp;$M12,TableAspect[month],"="&amp;DATE(INDEX(_xlfn.ANCHORARRAY($H$36),$D$5),$D$6-1,1)),SUMIFS(TableAspect[neutral],TableAspect[aspect],"="&amp;$M12,TableAspect[year],"="&amp;DATE(INDEX(_xlfn.ANCHORARRAY($H$36),$D$5),1,1)))</f>
        <v>0</v>
      </c>
      <c r="P12" s="8" cm="1">
        <f t="array" ref="P12">IF($D$6&lt;&gt;1,SUMIFS(TableAspect[negative],TableAspect[aspect],"="&amp;$M12,TableAspect[month],"="&amp;DATE(INDEX(_xlfn.ANCHORARRAY($H$36),$D$5),$D$6-1,1)),SUMIFS(TableAspect[negative],TableAspect[aspect],"="&amp;$M12,TableAspect[year],"="&amp;DATE(INDEX(_xlfn.ANCHORARRAY($H$36),$D$5),1,1)))</f>
        <v>0</v>
      </c>
      <c r="Q12" cm="1">
        <f t="array" ref="Q12">IF($D$6&lt;&gt;1,SUMIFS(TableAspect[total],TableAspect[aspect],"="&amp;$M12,TableAspect[month],"="&amp;DATE(INDEX(_xlfn.ANCHORARRAY($H$36),$D$5),$D$6-1,1)),SUMIFS(TableAspect[total],TableAspect[aspect],"="&amp;$M12,TableAspect[year],"="&amp;DATE(INDEX(_xlfn.ANCHORARRAY($H$36),$D$5),1,1)))</f>
        <v>0</v>
      </c>
      <c r="R12">
        <f>IF(M12&lt;&gt;0,Q12+(COUNTIFS($Q$8:Q12,Q12) - 1) * 0.000000001,"")</f>
        <v>4.0000000000000002E-9</v>
      </c>
      <c r="T12">
        <f t="shared" si="1"/>
        <v>4.6000000000000002E-8</v>
      </c>
      <c r="U12" t="str">
        <f t="shared" si="2"/>
        <v>order menu</v>
      </c>
      <c r="V12">
        <f t="shared" si="3"/>
        <v>0</v>
      </c>
      <c r="W12">
        <f t="shared" si="4"/>
        <v>0</v>
      </c>
      <c r="X12">
        <f t="shared" si="5"/>
        <v>0</v>
      </c>
      <c r="Y12">
        <f t="shared" si="6"/>
        <v>0</v>
      </c>
      <c r="AC12" s="30" t="str" cm="1">
        <f t="array" ref="AC12">IFERROR(IF(INDEX(U12:$U$1048505,$D$4,)=0,"",INDEX(U12:$U$1048505,$D$4,)),"")</f>
        <v>order menu</v>
      </c>
      <c r="AD12" s="31" t="str" cm="1">
        <f t="array" ref="AD12">IFERROR(IF(INDEX(V12:$V$1048505,$D$4,)=0,"",INDEX(V12:$V$1048505,$D$4,)),"")</f>
        <v/>
      </c>
      <c r="AE12" s="31" t="str" cm="1">
        <f t="array" ref="AE12">IFERROR(IF(INDEX(W12:$W$1048505,$D$4,)=0,"",INDEX(W12:$W$1048505,$D$4,)),"")</f>
        <v/>
      </c>
      <c r="AF12" s="31" t="str" cm="1">
        <f t="array" ref="AF12">IFERROR(IF(INDEX(X12:$X$1048505,$D$4,)=0,"",INDEX(X12:$X$1048505,$D$4,)),"")</f>
        <v/>
      </c>
      <c r="AG12" s="31" t="str" cm="1">
        <f t="array" ref="AG12">IFERROR(IF(INDEX(Y12:$Y$1048505,$D$4,)=0,"",INDEX(Y12:$Y$1048505,$D$4,)),"")</f>
        <v/>
      </c>
      <c r="AI12" t="str">
        <f t="shared" si="0"/>
        <v>Experience and Environment</v>
      </c>
      <c r="AJ12" cm="1">
        <f t="array" ref="AJ12">IF($D$6&lt;&gt;1,SUMIFS(TableTrend[positive],TableTrend[topic],"="&amp;$AI12,TableTrend[month],"="&amp;DATE(INDEX(_xlfn.ANCHORARRAY($H$36),$D$5,),$D$6-1,1)),SUMIFS(TableTrend[positive],TableTrend[topic],"="&amp;$AI12,TableTrend[year],"="&amp;DATE(INDEX(_xlfn.ANCHORARRAY($H$36),$D$5,),1,1)))</f>
        <v>1</v>
      </c>
      <c r="AK12" cm="1">
        <f t="array" ref="AK12">IF($D$6&lt;&gt;1,SUMIFS(TableTrend[neutral],TableTrend[topic],"="&amp;$AI12,TableTrend[month],"="&amp;DATE(INDEX(_xlfn.ANCHORARRAY($H$36),$D$5,),$D$6-1,1)),SUMIFS(TableTrend[neutral],TableTrend[topic],"="&amp;$AI12,TableTrend[year],"="&amp;DATE(INDEX(_xlfn.ANCHORARRAY($H$36),$D$5,),1,1)))</f>
        <v>0</v>
      </c>
      <c r="AL12" cm="1">
        <f t="array" ref="AL12">IF($D$6&lt;&gt;1,SUMIFS(TableTrend[negative],TableTrend[topic],"="&amp;$AI12,TableTrend[month],"="&amp;DATE(INDEX(_xlfn.ANCHORARRAY($H$36),$D$5,),$D$6-1,1)),SUMIFS(TableTrend[negative],TableTrend[topic],"="&amp;$AI12,TableTrend[year],"="&amp;DATE(INDEX(_xlfn.ANCHORARRAY($H$36),$D$5,),1,1)))</f>
        <v>0</v>
      </c>
      <c r="AM12" cm="1">
        <f t="array" ref="AM12">IF($D$6&lt;&gt;1,SUMIFS(TableTrend[total],TableTrend[topic],"="&amp;$AI12,TableTrend[month],"="&amp;DATE(INDEX(_xlfn.ANCHORARRAY($H$36),$D$5,),$D$6-1,1)),SUMIFS(TableTrend[total],TableTrend[topic],"="&amp;$AI12,TableTrend[year],"="&amp;DATE(INDEX(_xlfn.ANCHORARRAY($H$36),$D$5,),1,1)))</f>
        <v>1</v>
      </c>
      <c r="AN12">
        <f t="shared" si="7"/>
        <v>1</v>
      </c>
      <c r="AO12">
        <v>0.25</v>
      </c>
      <c r="AP12" s="13" t="str">
        <f t="shared" si="8"/>
        <v/>
      </c>
      <c r="AQ12" s="13" t="str">
        <f t="shared" si="9"/>
        <v/>
      </c>
      <c r="AR12" s="13" t="str">
        <f t="shared" si="10"/>
        <v/>
      </c>
      <c r="AU12" s="26">
        <v>1</v>
      </c>
      <c r="AV12" s="47" cm="1">
        <f t="array" ref="AV12">DATE(INDEX(_xlfn.ANCHORARRAY($H$36),$D$5),$AU12,1)</f>
        <v>45292</v>
      </c>
      <c r="AW12" s="26" cm="1">
        <f t="array" ref="AW12">SUMIFS(TableTrend[positive],TableTrend[month],"="&amp;$AV12,TableTrend[topic],"="&amp;INDEX($C$22:$C$28,$D$3))</f>
        <v>0</v>
      </c>
      <c r="AX12" s="26" cm="1">
        <f t="array" ref="AX12">SUMIFS(TableTrend[neutral],TableTrend[month],"="&amp;$AV12,TableTrend[topic],"="&amp;INDEX($C$22:$C$28,$D$3))</f>
        <v>0</v>
      </c>
      <c r="AY12" s="26" cm="1">
        <f t="array" ref="AY12">SUMIFS(TableTrend[negative],TableTrend[month],"="&amp;$AV12,TableTrend[topic],"="&amp;INDEX($C$22:$C$28,$D$3))</f>
        <v>1</v>
      </c>
      <c r="AZ12" s="26" cm="1">
        <f t="array" ref="AZ12">SUMIFS(TableTrend[total],TableTrend[month],"="&amp;$AV12,TableTrend[topic],"="&amp;INDEX($C$22:$C$28,$D$3))</f>
        <v>1</v>
      </c>
      <c r="BA12" s="46" cm="1">
        <f t="array" ref="BA12">IF($AV$7,IFERROR(SUMIFS(TableTrend[rating_sum],TableTrend[month],"="&amp;$AV12,TableTrend[topic],"="&amp;INDEX($C$22:$C$28,$D$3)) / SUMIFS(TableTrend[rating_count],TableTrend[month],"="&amp;$AV12,TableTrend[topic],"="&amp;INDEX($C$22:$C$28,$D$3)),0),NA())</f>
        <v>1</v>
      </c>
      <c r="BB12" s="27" t="str">
        <f>_xlfn.IFNA(IF($AW12=0,"",$AW12/$AZ12),"")</f>
        <v/>
      </c>
      <c r="BC12" s="27" t="str">
        <f>_xlfn.IFNA(IF($AX12=0,"",$AX12/$AZ12),"")</f>
        <v/>
      </c>
      <c r="BD12" s="27">
        <f>_xlfn.IFNA(IF($AY12=0,"",$AY12/$AZ12),"")</f>
        <v>1</v>
      </c>
      <c r="BE12" s="22">
        <f>CHOOSE($D$13,$AZ12,$BA12)</f>
        <v>1</v>
      </c>
      <c r="BJ12" s="22"/>
      <c r="BK12" s="22"/>
      <c r="BL12" s="22"/>
    </row>
    <row r="13" spans="2:69" x14ac:dyDescent="0.3">
      <c r="C13" t="s">
        <v>276</v>
      </c>
      <c r="D13">
        <v>1</v>
      </c>
      <c r="H13"/>
      <c r="J13" s="9"/>
      <c r="K13" s="54"/>
      <c r="L13" s="9"/>
      <c r="M13" s="54" t="str">
        <v>meal</v>
      </c>
      <c r="N13" s="8" cm="1">
        <f t="array" ref="N13">IF($D$6&lt;&gt;1,SUMIFS(TableAspect[positive],TableAspect[aspect],"="&amp;$M13,TableAspect[month],"="&amp;DATE(INDEX(_xlfn.ANCHORARRAY($H$36),$D$5),$D$6-1,1)),SUMIFS(TableAspect[positive],TableAspect[aspect],"="&amp;$M13,TableAspect[year],"="&amp;DATE(INDEX(_xlfn.ANCHORARRAY($H$36),$D$5),1,1)))</f>
        <v>0</v>
      </c>
      <c r="O13" s="8" cm="1">
        <f t="array" ref="O13">IF($D$6&lt;&gt;1,SUMIFS(TableAspect[neutral],TableAspect[aspect],"="&amp;$M13,TableAspect[month],"="&amp;DATE(INDEX(_xlfn.ANCHORARRAY($H$36),$D$5),$D$6-1,1)),SUMIFS(TableAspect[neutral],TableAspect[aspect],"="&amp;$M13,TableAspect[year],"="&amp;DATE(INDEX(_xlfn.ANCHORARRAY($H$36),$D$5),1,1)))</f>
        <v>0</v>
      </c>
      <c r="P13" s="8" cm="1">
        <f t="array" ref="P13">IF($D$6&lt;&gt;1,SUMIFS(TableAspect[negative],TableAspect[aspect],"="&amp;$M13,TableAspect[month],"="&amp;DATE(INDEX(_xlfn.ANCHORARRAY($H$36),$D$5),$D$6-1,1)),SUMIFS(TableAspect[negative],TableAspect[aspect],"="&amp;$M13,TableAspect[year],"="&amp;DATE(INDEX(_xlfn.ANCHORARRAY($H$36),$D$5),1,1)))</f>
        <v>0</v>
      </c>
      <c r="Q13" cm="1">
        <f t="array" ref="Q13">IF($D$6&lt;&gt;1,SUMIFS(TableAspect[total],TableAspect[aspect],"="&amp;$M13,TableAspect[month],"="&amp;DATE(INDEX(_xlfn.ANCHORARRAY($H$36),$D$5),$D$6-1,1)),SUMIFS(TableAspect[total],TableAspect[aspect],"="&amp;$M13,TableAspect[year],"="&amp;DATE(INDEX(_xlfn.ANCHORARRAY($H$36),$D$5),1,1)))</f>
        <v>0</v>
      </c>
      <c r="R13">
        <f>IF(M13&lt;&gt;0,Q13+(COUNTIFS($Q$8:Q13,Q13) - 1) * 0.000000001,"")</f>
        <v>5.0000000000000001E-9</v>
      </c>
      <c r="T13">
        <f t="shared" si="1"/>
        <v>4.5000000000000006E-8</v>
      </c>
      <c r="U13" t="str">
        <f t="shared" si="2"/>
        <v>drinks</v>
      </c>
      <c r="V13">
        <f t="shared" si="3"/>
        <v>0</v>
      </c>
      <c r="W13">
        <f t="shared" si="4"/>
        <v>0</v>
      </c>
      <c r="X13">
        <f t="shared" si="5"/>
        <v>0</v>
      </c>
      <c r="Y13">
        <f t="shared" si="6"/>
        <v>0</v>
      </c>
      <c r="AC13" s="30" t="str" cm="1">
        <f t="array" ref="AC13">IFERROR(IF(INDEX(U13:$U$1048505,$D$4,)=0,"",INDEX(U13:$U$1048505,$D$4,)),"")</f>
        <v>drinks</v>
      </c>
      <c r="AD13" s="31" t="str" cm="1">
        <f t="array" ref="AD13">IFERROR(IF(INDEX(V13:$V$1048505,$D$4,)=0,"",INDEX(V13:$V$1048505,$D$4,)),"")</f>
        <v/>
      </c>
      <c r="AE13" s="31" t="str" cm="1">
        <f t="array" ref="AE13">IFERROR(IF(INDEX(W13:$W$1048505,$D$4,)=0,"",INDEX(W13:$W$1048505,$D$4,)),"")</f>
        <v/>
      </c>
      <c r="AF13" s="31" t="str" cm="1">
        <f t="array" ref="AF13">IFERROR(IF(INDEX(X13:$X$1048505,$D$4,)=0,"",INDEX(X13:$X$1048505,$D$4,)),"")</f>
        <v/>
      </c>
      <c r="AG13" s="31" t="str" cm="1">
        <f t="array" ref="AG13">IFERROR(IF(INDEX(Y13:$Y$1048505,$D$4,)=0,"",INDEX(Y13:$Y$1048505,$D$4,)),"")</f>
        <v/>
      </c>
      <c r="AI13" t="str">
        <f t="shared" si="0"/>
        <v>Service and Staff</v>
      </c>
      <c r="AJ13" cm="1">
        <f t="array" ref="AJ13">IF($D$6&lt;&gt;1,SUMIFS(TableTrend[positive],TableTrend[topic],"="&amp;$AI13,TableTrend[month],"="&amp;DATE(INDEX(_xlfn.ANCHORARRAY($H$36),$D$5,),$D$6-1,1)),SUMIFS(TableTrend[positive],TableTrend[topic],"="&amp;$AI13,TableTrend[year],"="&amp;DATE(INDEX(_xlfn.ANCHORARRAY($H$36),$D$5,),1,1)))</f>
        <v>0</v>
      </c>
      <c r="AK13" cm="1">
        <f t="array" ref="AK13">IF($D$6&lt;&gt;1,SUMIFS(TableTrend[neutral],TableTrend[topic],"="&amp;$AI13,TableTrend[month],"="&amp;DATE(INDEX(_xlfn.ANCHORARRAY($H$36),$D$5,),$D$6-1,1)),SUMIFS(TableTrend[neutral],TableTrend[topic],"="&amp;$AI13,TableTrend[year],"="&amp;DATE(INDEX(_xlfn.ANCHORARRAY($H$36),$D$5,),1,1)))</f>
        <v>0</v>
      </c>
      <c r="AL13" cm="1">
        <f t="array" ref="AL13">IF($D$6&lt;&gt;1,SUMIFS(TableTrend[negative],TableTrend[topic],"="&amp;$AI13,TableTrend[month],"="&amp;DATE(INDEX(_xlfn.ANCHORARRAY($H$36),$D$5,),$D$6-1,1)),SUMIFS(TableTrend[negative],TableTrend[topic],"="&amp;$AI13,TableTrend[year],"="&amp;DATE(INDEX(_xlfn.ANCHORARRAY($H$36),$D$5,),1,1)))</f>
        <v>2</v>
      </c>
      <c r="AM13" cm="1">
        <f t="array" ref="AM13">IF($D$6&lt;&gt;1,SUMIFS(TableTrend[total],TableTrend[topic],"="&amp;$AI13,TableTrend[month],"="&amp;DATE(INDEX(_xlfn.ANCHORARRAY($H$36),$D$5,),$D$6-1,1)),SUMIFS(TableTrend[total],TableTrend[topic],"="&amp;$AI13,TableTrend[year],"="&amp;DATE(INDEX(_xlfn.ANCHORARRAY($H$36),$D$5,),1,1)))</f>
        <v>2</v>
      </c>
      <c r="AN13">
        <f t="shared" si="7"/>
        <v>2</v>
      </c>
      <c r="AO13">
        <v>0.25</v>
      </c>
      <c r="AP13" s="13" t="str">
        <f t="shared" si="8"/>
        <v/>
      </c>
      <c r="AQ13" s="13" t="str">
        <f t="shared" si="9"/>
        <v/>
      </c>
      <c r="AR13" s="13" t="str">
        <f t="shared" si="10"/>
        <v/>
      </c>
      <c r="AU13" s="26">
        <v>2</v>
      </c>
      <c r="AV13" s="47" cm="1">
        <f t="array" ref="AV13">DATE(INDEX(_xlfn.ANCHORARRAY($H$36),$D$5),$AU13,1)</f>
        <v>45323</v>
      </c>
      <c r="AW13" s="26" cm="1">
        <f t="array" ref="AW13">SUMIFS(TableTrend[positive],TableTrend[month],"="&amp;$AV13,TableTrend[topic],"="&amp;INDEX($C$22:$C$28,$D$3))</f>
        <v>0</v>
      </c>
      <c r="AX13" s="26" cm="1">
        <f t="array" ref="AX13">SUMIFS(TableTrend[neutral],TableTrend[month],"="&amp;$AV13,TableTrend[topic],"="&amp;INDEX($C$22:$C$28,$D$3))</f>
        <v>1</v>
      </c>
      <c r="AY13" s="26" cm="1">
        <f t="array" ref="AY13">SUMIFS(TableTrend[negative],TableTrend[month],"="&amp;$AV13,TableTrend[topic],"="&amp;INDEX($C$22:$C$28,$D$3))</f>
        <v>1</v>
      </c>
      <c r="AZ13" s="26" cm="1">
        <f t="array" ref="AZ13">SUMIFS(TableTrend[total],TableTrend[month],"="&amp;$AV13,TableTrend[topic],"="&amp;INDEX($C$22:$C$28,$D$3))</f>
        <v>2</v>
      </c>
      <c r="BA13" s="46" cm="1">
        <f t="array" ref="BA13">IF($AV$7,IFERROR(SUMIFS(TableTrend[rating_sum],TableTrend[month],"="&amp;$AV13,TableTrend[topic],"="&amp;INDEX($C$22:$C$28,$D$3)) / SUMIFS(TableTrend[rating_count],TableTrend[month],"="&amp;$AV13,TableTrend[topic],"="&amp;INDEX($C$22:$C$28,$D$3)),0),NA())</f>
        <v>1</v>
      </c>
      <c r="BB13" s="27" t="str">
        <f>_xlfn.IFNA(IF($AW13=0,"",$AW13/$AZ13),"")</f>
        <v/>
      </c>
      <c r="BC13" s="27">
        <f>_xlfn.IFNA(IF($AX13=0,"",$AX13/$AZ13),"")</f>
        <v>0.5</v>
      </c>
      <c r="BD13" s="27">
        <f>_xlfn.IFNA(IF($AY13=0,"",$AY13/$AZ13),"")</f>
        <v>0.5</v>
      </c>
      <c r="BE13" s="22">
        <f t="shared" ref="BE13:BE23" si="11">CHOOSE($D$13,$AZ13,$BA13)</f>
        <v>2</v>
      </c>
      <c r="BJ13" s="22"/>
      <c r="BK13" s="22"/>
      <c r="BL13" s="22"/>
    </row>
    <row r="14" spans="2:69" x14ac:dyDescent="0.3">
      <c r="H14"/>
      <c r="J14" s="9"/>
      <c r="K14" s="54"/>
      <c r="L14" s="9"/>
      <c r="M14" s="54" t="str">
        <v>filet of fish</v>
      </c>
      <c r="N14" s="8" cm="1">
        <f t="array" ref="N14">IF($D$6&lt;&gt;1,SUMIFS(TableAspect[positive],TableAspect[aspect],"="&amp;$M14,TableAspect[month],"="&amp;DATE(INDEX(_xlfn.ANCHORARRAY($H$36),$D$5),$D$6-1,1)),SUMIFS(TableAspect[positive],TableAspect[aspect],"="&amp;$M14,TableAspect[year],"="&amp;DATE(INDEX(_xlfn.ANCHORARRAY($H$36),$D$5),1,1)))</f>
        <v>0</v>
      </c>
      <c r="O14" s="8" cm="1">
        <f t="array" ref="O14">IF($D$6&lt;&gt;1,SUMIFS(TableAspect[neutral],TableAspect[aspect],"="&amp;$M14,TableAspect[month],"="&amp;DATE(INDEX(_xlfn.ANCHORARRAY($H$36),$D$5),$D$6-1,1)),SUMIFS(TableAspect[neutral],TableAspect[aspect],"="&amp;$M14,TableAspect[year],"="&amp;DATE(INDEX(_xlfn.ANCHORARRAY($H$36),$D$5),1,1)))</f>
        <v>0</v>
      </c>
      <c r="P14" s="8" cm="1">
        <f t="array" ref="P14">IF($D$6&lt;&gt;1,SUMIFS(TableAspect[negative],TableAspect[aspect],"="&amp;$M14,TableAspect[month],"="&amp;DATE(INDEX(_xlfn.ANCHORARRAY($H$36),$D$5),$D$6-1,1)),SUMIFS(TableAspect[negative],TableAspect[aspect],"="&amp;$M14,TableAspect[year],"="&amp;DATE(INDEX(_xlfn.ANCHORARRAY($H$36),$D$5),1,1)))</f>
        <v>0</v>
      </c>
      <c r="Q14" cm="1">
        <f t="array" ref="Q14">IF($D$6&lt;&gt;1,SUMIFS(TableAspect[total],TableAspect[aspect],"="&amp;$M14,TableAspect[month],"="&amp;DATE(INDEX(_xlfn.ANCHORARRAY($H$36),$D$5),$D$6-1,1)),SUMIFS(TableAspect[total],TableAspect[aspect],"="&amp;$M14,TableAspect[year],"="&amp;DATE(INDEX(_xlfn.ANCHORARRAY($H$36),$D$5),1,1)))</f>
        <v>0</v>
      </c>
      <c r="R14">
        <f>IF(M14&lt;&gt;0,Q14+(COUNTIFS($Q$8:Q14,Q14) - 1) * 0.000000001,"")</f>
        <v>6.0000000000000008E-9</v>
      </c>
      <c r="T14">
        <f t="shared" si="1"/>
        <v>4.4000000000000004E-8</v>
      </c>
      <c r="U14" t="str">
        <f t="shared" si="2"/>
        <v>baked beans</v>
      </c>
      <c r="V14">
        <f t="shared" si="3"/>
        <v>0</v>
      </c>
      <c r="W14">
        <f t="shared" si="4"/>
        <v>0</v>
      </c>
      <c r="X14">
        <f t="shared" si="5"/>
        <v>0</v>
      </c>
      <c r="Y14">
        <f t="shared" si="6"/>
        <v>0</v>
      </c>
      <c r="AC14" s="30" t="str" cm="1">
        <f t="array" ref="AC14">IFERROR(IF(INDEX(U14:$U$1048505,$D$4,)=0,"",INDEX(U14:$U$1048505,$D$4,)),"")</f>
        <v>baked beans</v>
      </c>
      <c r="AD14" s="31" t="str" cm="1">
        <f t="array" ref="AD14">IFERROR(IF(INDEX(V14:$V$1048505,$D$4,)=0,"",INDEX(V14:$V$1048505,$D$4,)),"")</f>
        <v/>
      </c>
      <c r="AE14" s="31" t="str" cm="1">
        <f t="array" ref="AE14">IFERROR(IF(INDEX(W14:$W$1048505,$D$4,)=0,"",INDEX(W14:$W$1048505,$D$4,)),"")</f>
        <v/>
      </c>
      <c r="AF14" s="31" t="str" cm="1">
        <f t="array" ref="AF14">IFERROR(IF(INDEX(X14:$X$1048505,$D$4,)=0,"",INDEX(X14:$X$1048505,$D$4,)),"")</f>
        <v/>
      </c>
      <c r="AG14" s="31" t="str" cm="1">
        <f t="array" ref="AG14">IFERROR(IF(INDEX(Y14:$Y$1048505,$D$4,)=0,"",INDEX(Y14:$Y$1048505,$D$4,)),"")</f>
        <v/>
      </c>
      <c r="AI14" t="str">
        <f t="shared" si="0"/>
        <v>Miscellaneous</v>
      </c>
      <c r="AJ14" cm="1">
        <f t="array" ref="AJ14">IF($D$6&lt;&gt;1,SUMIFS(TableTrend[positive],TableTrend[topic],"="&amp;$AI14,TableTrend[month],"="&amp;DATE(INDEX(_xlfn.ANCHORARRAY($H$36),$D$5,),$D$6-1,1)),SUMIFS(TableTrend[positive],TableTrend[topic],"="&amp;$AI14,TableTrend[year],"="&amp;DATE(INDEX(_xlfn.ANCHORARRAY($H$36),$D$5,),1,1)))</f>
        <v>0</v>
      </c>
      <c r="AK14" cm="1">
        <f t="array" ref="AK14">IF($D$6&lt;&gt;1,SUMIFS(TableTrend[neutral],TableTrend[topic],"="&amp;$AI14,TableTrend[month],"="&amp;DATE(INDEX(_xlfn.ANCHORARRAY($H$36),$D$5,),$D$6-1,1)),SUMIFS(TableTrend[neutral],TableTrend[topic],"="&amp;$AI14,TableTrend[year],"="&amp;DATE(INDEX(_xlfn.ANCHORARRAY($H$36),$D$5,),1,1)))</f>
        <v>0</v>
      </c>
      <c r="AL14" cm="1">
        <f t="array" ref="AL14">IF($D$6&lt;&gt;1,SUMIFS(TableTrend[negative],TableTrend[topic],"="&amp;$AI14,TableTrend[month],"="&amp;DATE(INDEX(_xlfn.ANCHORARRAY($H$36),$D$5,),$D$6-1,1)),SUMIFS(TableTrend[negative],TableTrend[topic],"="&amp;$AI14,TableTrend[year],"="&amp;DATE(INDEX(_xlfn.ANCHORARRAY($H$36),$D$5,),1,1)))</f>
        <v>1</v>
      </c>
      <c r="AM14" cm="1">
        <f t="array" ref="AM14">IF($D$6&lt;&gt;1,SUMIFS(TableTrend[total],TableTrend[topic],"="&amp;$AI14,TableTrend[month],"="&amp;DATE(INDEX(_xlfn.ANCHORARRAY($H$36),$D$5,),$D$6-1,1)),SUMIFS(TableTrend[total],TableTrend[topic],"="&amp;$AI14,TableTrend[year],"="&amp;DATE(INDEX(_xlfn.ANCHORARRAY($H$36),$D$5,),1,1)))</f>
        <v>1</v>
      </c>
      <c r="AN14">
        <f t="shared" si="7"/>
        <v>1</v>
      </c>
      <c r="AO14">
        <v>0.25</v>
      </c>
      <c r="AP14" s="13" t="str">
        <f t="shared" si="8"/>
        <v/>
      </c>
      <c r="AQ14" s="13" t="str">
        <f t="shared" si="9"/>
        <v/>
      </c>
      <c r="AR14" s="13" t="str">
        <f>IFERROR(IF(AND(AL14/AM14 &gt; 0.1, AL14/AM14 &lt;&gt; 1),AL14/AM14,""), "")</f>
        <v/>
      </c>
      <c r="AU14" s="26">
        <v>3</v>
      </c>
      <c r="AV14" s="47" cm="1">
        <f t="array" ref="AV14">DATE(INDEX(_xlfn.ANCHORARRAY($H$36),$D$5),AU$14,1)</f>
        <v>45352</v>
      </c>
      <c r="AW14" s="26" cm="1">
        <f t="array" ref="AW14">SUMIFS(TableTrend[positive],TableTrend[month],"="&amp;$AV14,TableTrend[topic],"="&amp;INDEX($C$22:$C$28,$D$3))</f>
        <v>0</v>
      </c>
      <c r="AX14" s="26" cm="1">
        <f t="array" ref="AX14">SUMIFS(TableTrend[neutral],TableTrend[month],"="&amp;$AV14,TableTrend[topic],"="&amp;INDEX($C$22:$C$28,$D$3))</f>
        <v>1</v>
      </c>
      <c r="AY14" s="26" cm="1">
        <f t="array" ref="AY14">SUMIFS(TableTrend[negative],TableTrend[month],"="&amp;$AV14,TableTrend[topic],"="&amp;INDEX($C$22:$C$28,$D$3))</f>
        <v>7</v>
      </c>
      <c r="AZ14" s="26" cm="1">
        <f t="array" ref="AZ14">SUMIFS(TableTrend[total],TableTrend[month],"="&amp;$AV14,TableTrend[topic],"="&amp;INDEX($C$22:$C$28,$D$3))</f>
        <v>8</v>
      </c>
      <c r="BA14" s="46" cm="1">
        <f t="array" ref="BA14">IF($AV$7,IFERROR(SUMIFS(TableTrend[rating_sum],TableTrend[month],"="&amp;$AV14,TableTrend[topic],"="&amp;INDEX($C$22:$C$28,$D$3)) / SUMIFS(TableTrend[rating_count],TableTrend[month],"="&amp;$AV14,TableTrend[topic],"="&amp;INDEX($C$22:$C$28,$D$3)),0),NA())</f>
        <v>1.25</v>
      </c>
      <c r="BB14" s="27" t="str">
        <f>_xlfn.IFNA(IF($AW14=0,"",$AW14/$AZ14),"")</f>
        <v/>
      </c>
      <c r="BC14" s="27">
        <f>_xlfn.IFNA(IF($AX14=0,"",$AX14/$AZ14),"")</f>
        <v>0.125</v>
      </c>
      <c r="BD14" s="27">
        <f>_xlfn.IFNA(IF($AY14=0,"",$AY14/$AZ14),"")</f>
        <v>0.875</v>
      </c>
      <c r="BE14" s="22">
        <f t="shared" si="11"/>
        <v>8</v>
      </c>
      <c r="BJ14" s="22"/>
      <c r="BK14" s="22"/>
      <c r="BL14" s="22"/>
    </row>
    <row r="15" spans="2:69" x14ac:dyDescent="0.3">
      <c r="H15"/>
      <c r="J15" s="9"/>
      <c r="K15" s="54"/>
      <c r="L15" s="9"/>
      <c r="M15" s="54" t="str">
        <v>cookies</v>
      </c>
      <c r="N15" s="8" cm="1">
        <f t="array" ref="N15">IF($D$6&lt;&gt;1,SUMIFS(TableAspect[positive],TableAspect[aspect],"="&amp;$M15,TableAspect[month],"="&amp;DATE(INDEX(_xlfn.ANCHORARRAY($H$36),$D$5),$D$6-1,1)),SUMIFS(TableAspect[positive],TableAspect[aspect],"="&amp;$M15,TableAspect[year],"="&amp;DATE(INDEX(_xlfn.ANCHORARRAY($H$36),$D$5),1,1)))</f>
        <v>0</v>
      </c>
      <c r="O15" s="8" cm="1">
        <f t="array" ref="O15">IF($D$6&lt;&gt;1,SUMIFS(TableAspect[neutral],TableAspect[aspect],"="&amp;$M15,TableAspect[month],"="&amp;DATE(INDEX(_xlfn.ANCHORARRAY($H$36),$D$5),$D$6-1,1)),SUMIFS(TableAspect[neutral],TableAspect[aspect],"="&amp;$M15,TableAspect[year],"="&amp;DATE(INDEX(_xlfn.ANCHORARRAY($H$36),$D$5),1,1)))</f>
        <v>0</v>
      </c>
      <c r="P15" s="8" cm="1">
        <f t="array" ref="P15">IF($D$6&lt;&gt;1,SUMIFS(TableAspect[negative],TableAspect[aspect],"="&amp;$M15,TableAspect[month],"="&amp;DATE(INDEX(_xlfn.ANCHORARRAY($H$36),$D$5),$D$6-1,1)),SUMIFS(TableAspect[negative],TableAspect[aspect],"="&amp;$M15,TableAspect[year],"="&amp;DATE(INDEX(_xlfn.ANCHORARRAY($H$36),$D$5),1,1)))</f>
        <v>0</v>
      </c>
      <c r="Q15" cm="1">
        <f t="array" ref="Q15">IF($D$6&lt;&gt;1,SUMIFS(TableAspect[total],TableAspect[aspect],"="&amp;$M15,TableAspect[month],"="&amp;DATE(INDEX(_xlfn.ANCHORARRAY($H$36),$D$5),$D$6-1,1)),SUMIFS(TableAspect[total],TableAspect[aspect],"="&amp;$M15,TableAspect[year],"="&amp;DATE(INDEX(_xlfn.ANCHORARRAY($H$36),$D$5),1,1)))</f>
        <v>0</v>
      </c>
      <c r="R15">
        <f>IF(M15&lt;&gt;0,Q15+(COUNTIFS($Q$8:Q15,Q15) - 1) * 0.000000001,"")</f>
        <v>7.0000000000000006E-9</v>
      </c>
      <c r="T15">
        <f t="shared" si="1"/>
        <v>4.3000000000000001E-8</v>
      </c>
      <c r="U15" t="str">
        <f t="shared" si="2"/>
        <v>meals</v>
      </c>
      <c r="V15">
        <f t="shared" si="3"/>
        <v>0</v>
      </c>
      <c r="W15">
        <f t="shared" si="4"/>
        <v>0</v>
      </c>
      <c r="X15">
        <f t="shared" si="5"/>
        <v>0</v>
      </c>
      <c r="Y15">
        <f t="shared" si="6"/>
        <v>0</v>
      </c>
      <c r="AC15" s="30" t="str" cm="1">
        <f t="array" ref="AC15">IFERROR(IF(INDEX(U15:$U$1048505,$D$4,)=0,"",INDEX(U15:$U$1048505,$D$4,)),"")</f>
        <v>meals</v>
      </c>
      <c r="AD15" s="31" t="str" cm="1">
        <f t="array" ref="AD15">IFERROR(IF(INDEX(V15:$V$1048505,$D$4,)=0,"",INDEX(V15:$V$1048505,$D$4,)),"")</f>
        <v/>
      </c>
      <c r="AE15" s="31" t="str" cm="1">
        <f t="array" ref="AE15">IFERROR(IF(INDEX(W15:$W$1048505,$D$4,)=0,"",INDEX(W15:$W$1048505,$D$4,)),"")</f>
        <v/>
      </c>
      <c r="AF15" s="31" t="str" cm="1">
        <f t="array" ref="AF15">IFERROR(IF(INDEX(X15:$X$1048505,$D$4,)=0,"",INDEX(X15:$X$1048505,$D$4,)),"")</f>
        <v/>
      </c>
      <c r="AG15" s="31" t="str" cm="1">
        <f t="array" ref="AG15">IFERROR(IF(INDEX(Y15:$Y$1048505,$D$4,)=0,"",INDEX(Y15:$Y$1048505,$D$4,)),"")</f>
        <v/>
      </c>
      <c r="AU15" s="26">
        <v>4</v>
      </c>
      <c r="AV15" s="47" cm="1">
        <f t="array" ref="AV15">DATE(INDEX(_xlfn.ANCHORARRAY($H$36),$D$5),AU$15,1)</f>
        <v>45383</v>
      </c>
      <c r="AW15" s="26" cm="1">
        <f t="array" ref="AW15">SUMIFS(TableTrend[positive],TableTrend[month],"="&amp;$AV15,TableTrend[topic],"="&amp;INDEX($C$22:$C$28,$D$3))</f>
        <v>1</v>
      </c>
      <c r="AX15" s="26" cm="1">
        <f t="array" ref="AX15">SUMIFS(TableTrend[neutral],TableTrend[month],"="&amp;$AV15,TableTrend[topic],"="&amp;INDEX($C$22:$C$28,$D$3))</f>
        <v>0</v>
      </c>
      <c r="AY15" s="26" cm="1">
        <f t="array" ref="AY15">SUMIFS(TableTrend[negative],TableTrend[month],"="&amp;$AV15,TableTrend[topic],"="&amp;INDEX($C$22:$C$28,$D$3))</f>
        <v>1</v>
      </c>
      <c r="AZ15" s="26" cm="1">
        <f t="array" ref="AZ15">SUMIFS(TableTrend[total],TableTrend[month],"="&amp;$AV15,TableTrend[topic],"="&amp;INDEX($C$22:$C$28,$D$3))</f>
        <v>2</v>
      </c>
      <c r="BA15" s="46" cm="1">
        <f t="array" ref="BA15">IF($AV$7,IFERROR(SUMIFS(TableTrend[rating_sum],TableTrend[month],"="&amp;$AV15,TableTrend[topic],"="&amp;INDEX($C$22:$C$28,$D$3)) / SUMIFS(TableTrend[rating_count],TableTrend[month],"="&amp;$AV15,TableTrend[topic],"="&amp;INDEX($C$22:$C$28,$D$3)),0),NA())</f>
        <v>1</v>
      </c>
      <c r="BB15" s="27">
        <f>_xlfn.IFNA(IF($AW15=0,"",$AW15/$AZ15),"")</f>
        <v>0.5</v>
      </c>
      <c r="BC15" s="27" t="str">
        <f>_xlfn.IFNA(IF($AX15=0,"",$AX15/$AZ15),"")</f>
        <v/>
      </c>
      <c r="BD15" s="27">
        <f>_xlfn.IFNA(IF($AY15=0,"",$AY15/$AZ15),"")</f>
        <v>0.5</v>
      </c>
      <c r="BE15" s="22">
        <f t="shared" si="11"/>
        <v>2</v>
      </c>
      <c r="BJ15" s="22"/>
      <c r="BK15" s="22"/>
      <c r="BL15" s="22"/>
    </row>
    <row r="16" spans="2:69" x14ac:dyDescent="0.3">
      <c r="H16"/>
      <c r="J16" s="9"/>
      <c r="K16" s="54"/>
      <c r="L16" s="9"/>
      <c r="M16" s="54" t="str">
        <v>hamburg</v>
      </c>
      <c r="N16" s="8" cm="1">
        <f t="array" ref="N16">IF($D$6&lt;&gt;1,SUMIFS(TableAspect[positive],TableAspect[aspect],"="&amp;$M16,TableAspect[month],"="&amp;DATE(INDEX(_xlfn.ANCHORARRAY($H$36),$D$5),$D$6-1,1)),SUMIFS(TableAspect[positive],TableAspect[aspect],"="&amp;$M16,TableAspect[year],"="&amp;DATE(INDEX(_xlfn.ANCHORARRAY($H$36),$D$5),1,1)))</f>
        <v>0</v>
      </c>
      <c r="O16" s="8" cm="1">
        <f t="array" ref="O16">IF($D$6&lt;&gt;1,SUMIFS(TableAspect[neutral],TableAspect[aspect],"="&amp;$M16,TableAspect[month],"="&amp;DATE(INDEX(_xlfn.ANCHORARRAY($H$36),$D$5),$D$6-1,1)),SUMIFS(TableAspect[neutral],TableAspect[aspect],"="&amp;$M16,TableAspect[year],"="&amp;DATE(INDEX(_xlfn.ANCHORARRAY($H$36),$D$5),1,1)))</f>
        <v>0</v>
      </c>
      <c r="P16" s="8" cm="1">
        <f t="array" ref="P16">IF($D$6&lt;&gt;1,SUMIFS(TableAspect[negative],TableAspect[aspect],"="&amp;$M16,TableAspect[month],"="&amp;DATE(INDEX(_xlfn.ANCHORARRAY($H$36),$D$5),$D$6-1,1)),SUMIFS(TableAspect[negative],TableAspect[aspect],"="&amp;$M16,TableAspect[year],"="&amp;DATE(INDEX(_xlfn.ANCHORARRAY($H$36),$D$5),1,1)))</f>
        <v>0</v>
      </c>
      <c r="Q16" cm="1">
        <f t="array" ref="Q16">IF($D$6&lt;&gt;1,SUMIFS(TableAspect[total],TableAspect[aspect],"="&amp;$M16,TableAspect[month],"="&amp;DATE(INDEX(_xlfn.ANCHORARRAY($H$36),$D$5),$D$6-1,1)),SUMIFS(TableAspect[total],TableAspect[aspect],"="&amp;$M16,TableAspect[year],"="&amp;DATE(INDEX(_xlfn.ANCHORARRAY($H$36),$D$5),1,1)))</f>
        <v>0</v>
      </c>
      <c r="R16">
        <f>IF(M16&lt;&gt;0,Q16+(COUNTIFS($Q$8:Q16,Q16) - 1) * 0.000000001,"")</f>
        <v>8.0000000000000005E-9</v>
      </c>
      <c r="T16">
        <f t="shared" si="1"/>
        <v>4.2000000000000006E-8</v>
      </c>
      <c r="U16" t="str">
        <f t="shared" si="2"/>
        <v>burger</v>
      </c>
      <c r="V16">
        <f t="shared" si="3"/>
        <v>0</v>
      </c>
      <c r="W16">
        <f t="shared" si="4"/>
        <v>0</v>
      </c>
      <c r="X16">
        <f t="shared" si="5"/>
        <v>0</v>
      </c>
      <c r="Y16">
        <f t="shared" si="6"/>
        <v>0</v>
      </c>
      <c r="AC16" s="30" t="str" cm="1">
        <f t="array" ref="AC16">IFERROR(IF(INDEX(U16:$U$1048505,$D$4,)=0,"",INDEX(U16:$U$1048505,$D$4,)),"")</f>
        <v>burger</v>
      </c>
      <c r="AD16" s="31" t="str" cm="1">
        <f t="array" ref="AD16">IFERROR(IF(INDEX(V16:$V$1048505,$D$4,)=0,"",INDEX(V16:$V$1048505,$D$4,)),"")</f>
        <v/>
      </c>
      <c r="AE16" s="31" t="str" cm="1">
        <f t="array" ref="AE16">IFERROR(IF(INDEX(W16:$W$1048505,$D$4,)=0,"",INDEX(W16:$W$1048505,$D$4,)),"")</f>
        <v/>
      </c>
      <c r="AF16" s="31" t="str" cm="1">
        <f t="array" ref="AF16">IFERROR(IF(INDEX(X16:$X$1048505,$D$4,)=0,"",INDEX(X16:$X$1048505,$D$4,)),"")</f>
        <v/>
      </c>
      <c r="AG16" s="31" t="str" cm="1">
        <f t="array" ref="AG16">IFERROR(IF(INDEX(Y16:$Y$1048505,$D$4,)=0,"",INDEX(Y16:$Y$1048505,$D$4,)),"")</f>
        <v/>
      </c>
      <c r="AU16" s="26">
        <v>5</v>
      </c>
      <c r="AV16" s="47" cm="1">
        <f t="array" ref="AV16">DATE(INDEX(_xlfn.ANCHORARRAY($H$36),$D$5),AU$16,1)</f>
        <v>45413</v>
      </c>
      <c r="AW16" s="26" cm="1">
        <f t="array" ref="AW16">SUMIFS(TableTrend[positive],TableTrend[month],"="&amp;$AV16,TableTrend[topic],"="&amp;INDEX($C$22:$C$28,$D$3))</f>
        <v>4</v>
      </c>
      <c r="AX16" s="26" cm="1">
        <f t="array" ref="AX16">SUMIFS(TableTrend[neutral],TableTrend[month],"="&amp;$AV16,TableTrend[topic],"="&amp;INDEX($C$22:$C$28,$D$3))</f>
        <v>1</v>
      </c>
      <c r="AY16" s="26" cm="1">
        <f t="array" ref="AY16">SUMIFS(TableTrend[negative],TableTrend[month],"="&amp;$AV16,TableTrend[topic],"="&amp;INDEX($C$22:$C$28,$D$3))</f>
        <v>1</v>
      </c>
      <c r="AZ16" s="26" cm="1">
        <f t="array" ref="AZ16">SUMIFS(TableTrend[total],TableTrend[month],"="&amp;$AV16,TableTrend[topic],"="&amp;INDEX($C$22:$C$28,$D$3))</f>
        <v>6</v>
      </c>
      <c r="BA16" s="46" cm="1">
        <f t="array" ref="BA16">IF($AV$7,IFERROR(SUMIFS(TableTrend[rating_sum],TableTrend[month],"="&amp;$AV16,TableTrend[topic],"="&amp;INDEX($C$22:$C$28,$D$3)) / SUMIFS(TableTrend[rating_count],TableTrend[month],"="&amp;$AV16,TableTrend[topic],"="&amp;INDEX($C$22:$C$28,$D$3)),0),NA())</f>
        <v>3</v>
      </c>
      <c r="BB16" s="27">
        <f>_xlfn.IFNA(IF($AW16=0,"",$AW16/$AZ16),"")</f>
        <v>0.66666666666666663</v>
      </c>
      <c r="BC16" s="27">
        <f>_xlfn.IFNA(IF($AX16=0,"",$AX16/$AZ16),"")</f>
        <v>0.16666666666666666</v>
      </c>
      <c r="BD16" s="27">
        <f>_xlfn.IFNA(IF($AY16=0,"",$AY16/$AZ16),"")</f>
        <v>0.16666666666666666</v>
      </c>
      <c r="BE16" s="22">
        <f t="shared" si="11"/>
        <v>6</v>
      </c>
      <c r="BJ16" s="22"/>
      <c r="BK16" s="22"/>
      <c r="BL16" s="22"/>
    </row>
    <row r="17" spans="2:64" x14ac:dyDescent="0.3">
      <c r="H17"/>
      <c r="J17" s="9"/>
      <c r="K17" s="54"/>
      <c r="L17" s="9"/>
      <c r="M17" s="54" t="str">
        <v>chicken mcnuggets</v>
      </c>
      <c r="N17" s="8" cm="1">
        <f t="array" ref="N17">IF($D$6&lt;&gt;1,SUMIFS(TableAspect[positive],TableAspect[aspect],"="&amp;$M17,TableAspect[month],"="&amp;DATE(INDEX(_xlfn.ANCHORARRAY($H$36),$D$5),$D$6-1,1)),SUMIFS(TableAspect[positive],TableAspect[aspect],"="&amp;$M17,TableAspect[year],"="&amp;DATE(INDEX(_xlfn.ANCHORARRAY($H$36),$D$5),1,1)))</f>
        <v>0</v>
      </c>
      <c r="O17" s="8" cm="1">
        <f t="array" ref="O17">IF($D$6&lt;&gt;1,SUMIFS(TableAspect[neutral],TableAspect[aspect],"="&amp;$M17,TableAspect[month],"="&amp;DATE(INDEX(_xlfn.ANCHORARRAY($H$36),$D$5),$D$6-1,1)),SUMIFS(TableAspect[neutral],TableAspect[aspect],"="&amp;$M17,TableAspect[year],"="&amp;DATE(INDEX(_xlfn.ANCHORARRAY($H$36),$D$5),1,1)))</f>
        <v>0</v>
      </c>
      <c r="P17" s="8" cm="1">
        <f t="array" ref="P17">IF($D$6&lt;&gt;1,SUMIFS(TableAspect[negative],TableAspect[aspect],"="&amp;$M17,TableAspect[month],"="&amp;DATE(INDEX(_xlfn.ANCHORARRAY($H$36),$D$5),$D$6-1,1)),SUMIFS(TableAspect[negative],TableAspect[aspect],"="&amp;$M17,TableAspect[year],"="&amp;DATE(INDEX(_xlfn.ANCHORARRAY($H$36),$D$5),1,1)))</f>
        <v>0</v>
      </c>
      <c r="Q17" cm="1">
        <f t="array" ref="Q17">IF($D$6&lt;&gt;1,SUMIFS(TableAspect[total],TableAspect[aspect],"="&amp;$M17,TableAspect[month],"="&amp;DATE(INDEX(_xlfn.ANCHORARRAY($H$36),$D$5),$D$6-1,1)),SUMIFS(TableAspect[total],TableAspect[aspect],"="&amp;$M17,TableAspect[year],"="&amp;DATE(INDEX(_xlfn.ANCHORARRAY($H$36),$D$5),1,1)))</f>
        <v>0</v>
      </c>
      <c r="R17">
        <f>IF(M17&lt;&gt;0,Q17+(COUNTIFS($Q$8:Q17,Q17) - 1) * 0.000000001,"")</f>
        <v>9.0000000000000012E-9</v>
      </c>
      <c r="T17">
        <f t="shared" si="1"/>
        <v>4.1000000000000003E-8</v>
      </c>
      <c r="U17" t="str">
        <f t="shared" si="2"/>
        <v>frozen lemonade</v>
      </c>
      <c r="V17">
        <f t="shared" si="3"/>
        <v>0</v>
      </c>
      <c r="W17">
        <f t="shared" si="4"/>
        <v>0</v>
      </c>
      <c r="X17">
        <f t="shared" si="5"/>
        <v>0</v>
      </c>
      <c r="Y17">
        <f t="shared" si="6"/>
        <v>0</v>
      </c>
      <c r="AC17" s="30" t="str" cm="1">
        <f t="array" ref="AC17">IFERROR(IF(INDEX(U17:$U$1048505,$D$4,)=0,"",INDEX(U17:$U$1048505,$D$4,)),"")</f>
        <v>frozen lemonade</v>
      </c>
      <c r="AD17" s="31" t="str" cm="1">
        <f t="array" ref="AD17">IFERROR(IF(INDEX(V17:$V$1048505,$D$4,)=0,"",INDEX(V17:$V$1048505,$D$4,)),"")</f>
        <v/>
      </c>
      <c r="AE17" s="31" t="str" cm="1">
        <f t="array" ref="AE17">IFERROR(IF(INDEX(W17:$W$1048505,$D$4,)=0,"",INDEX(W17:$W$1048505,$D$4,)),"")</f>
        <v/>
      </c>
      <c r="AF17" s="31" t="str" cm="1">
        <f t="array" ref="AF17">IFERROR(IF(INDEX(X17:$X$1048505,$D$4,)=0,"",INDEX(X17:$X$1048505,$D$4,)),"")</f>
        <v/>
      </c>
      <c r="AG17" s="31" t="str" cm="1">
        <f t="array" ref="AG17">IFERROR(IF(INDEX(Y17:$Y$1048505,$D$4,)=0,"",INDEX(Y17:$Y$1048505,$D$4,)),"")</f>
        <v/>
      </c>
      <c r="AU17" s="26">
        <v>6</v>
      </c>
      <c r="AV17" s="47" cm="1">
        <f t="array" ref="AV17">DATE(INDEX(_xlfn.ANCHORARRAY($H$36),$D$5),AU$17,1)</f>
        <v>45444</v>
      </c>
      <c r="AW17" s="26" cm="1">
        <f t="array" ref="AW17">SUMIFS(TableTrend[positive],TableTrend[month],"="&amp;$AV17,TableTrend[topic],"="&amp;INDEX($C$22:$C$28,$D$3))</f>
        <v>2</v>
      </c>
      <c r="AX17" s="26" cm="1">
        <f t="array" ref="AX17">SUMIFS(TableTrend[neutral],TableTrend[month],"="&amp;$AV17,TableTrend[topic],"="&amp;INDEX($C$22:$C$28,$D$3))</f>
        <v>2</v>
      </c>
      <c r="AY17" s="26" cm="1">
        <f t="array" ref="AY17">SUMIFS(TableTrend[negative],TableTrend[month],"="&amp;$AV17,TableTrend[topic],"="&amp;INDEX($C$22:$C$28,$D$3))</f>
        <v>1</v>
      </c>
      <c r="AZ17" s="26" cm="1">
        <f t="array" ref="AZ17">SUMIFS(TableTrend[total],TableTrend[month],"="&amp;$AV17,TableTrend[topic],"="&amp;INDEX($C$22:$C$28,$D$3))</f>
        <v>5</v>
      </c>
      <c r="BA17" s="46" cm="1">
        <f t="array" ref="BA17">IF($AV$7,IFERROR(SUMIFS(TableTrend[rating_sum],TableTrend[month],"="&amp;$AV17,TableTrend[topic],"="&amp;INDEX($C$22:$C$28,$D$3)) / SUMIFS(TableTrend[rating_count],TableTrend[month],"="&amp;$AV17,TableTrend[topic],"="&amp;INDEX($C$22:$C$28,$D$3)),0),NA())</f>
        <v>3</v>
      </c>
      <c r="BB17" s="27">
        <f>_xlfn.IFNA(IF($AW17=0,"",$AW17/$AZ17),"")</f>
        <v>0.4</v>
      </c>
      <c r="BC17" s="27">
        <f>_xlfn.IFNA(IF($AX17=0,"",$AX17/$AZ17),"")</f>
        <v>0.4</v>
      </c>
      <c r="BD17" s="27">
        <f>_xlfn.IFNA(IF($AY17=0,"",$AY17/$AZ17),"")</f>
        <v>0.2</v>
      </c>
      <c r="BE17" s="22">
        <f t="shared" si="11"/>
        <v>5</v>
      </c>
      <c r="BJ17" s="22"/>
      <c r="BK17" s="22"/>
      <c r="BL17" s="22"/>
    </row>
    <row r="18" spans="2:64" x14ac:dyDescent="0.3">
      <c r="H18"/>
      <c r="J18" s="9"/>
      <c r="K18" s="54"/>
      <c r="L18" s="9"/>
      <c r="M18" s="54" t="str">
        <v>chicken</v>
      </c>
      <c r="N18" s="8" cm="1">
        <f t="array" ref="N18">IF($D$6&lt;&gt;1,SUMIFS(TableAspect[positive],TableAspect[aspect],"="&amp;$M18,TableAspect[month],"="&amp;DATE(INDEX(_xlfn.ANCHORARRAY($H$36),$D$5),$D$6-1,1)),SUMIFS(TableAspect[positive],TableAspect[aspect],"="&amp;$M18,TableAspect[year],"="&amp;DATE(INDEX(_xlfn.ANCHORARRAY($H$36),$D$5),1,1)))</f>
        <v>0</v>
      </c>
      <c r="O18" s="8" cm="1">
        <f t="array" ref="O18">IF($D$6&lt;&gt;1,SUMIFS(TableAspect[neutral],TableAspect[aspect],"="&amp;$M18,TableAspect[month],"="&amp;DATE(INDEX(_xlfn.ANCHORARRAY($H$36),$D$5),$D$6-1,1)),SUMIFS(TableAspect[neutral],TableAspect[aspect],"="&amp;$M18,TableAspect[year],"="&amp;DATE(INDEX(_xlfn.ANCHORARRAY($H$36),$D$5),1,1)))</f>
        <v>0</v>
      </c>
      <c r="P18" s="8" cm="1">
        <f t="array" ref="P18">IF($D$6&lt;&gt;1,SUMIFS(TableAspect[negative],TableAspect[aspect],"="&amp;$M18,TableAspect[month],"="&amp;DATE(INDEX(_xlfn.ANCHORARRAY($H$36),$D$5),$D$6-1,1)),SUMIFS(TableAspect[negative],TableAspect[aspect],"="&amp;$M18,TableAspect[year],"="&amp;DATE(INDEX(_xlfn.ANCHORARRAY($H$36),$D$5),1,1)))</f>
        <v>0</v>
      </c>
      <c r="Q18" cm="1">
        <f t="array" ref="Q18">IF($D$6&lt;&gt;1,SUMIFS(TableAspect[total],TableAspect[aspect],"="&amp;$M18,TableAspect[month],"="&amp;DATE(INDEX(_xlfn.ANCHORARRAY($H$36),$D$5),$D$6-1,1)),SUMIFS(TableAspect[total],TableAspect[aspect],"="&amp;$M18,TableAspect[year],"="&amp;DATE(INDEX(_xlfn.ANCHORARRAY($H$36),$D$5),1,1)))</f>
        <v>0</v>
      </c>
      <c r="R18">
        <f>IF(M18&lt;&gt;0,Q18+(COUNTIFS($Q$8:Q18,Q18) - 1) * 0.000000001,"")</f>
        <v>1E-8</v>
      </c>
      <c r="T18">
        <f t="shared" si="1"/>
        <v>4.0000000000000001E-8</v>
      </c>
      <c r="U18" t="str">
        <f t="shared" si="2"/>
        <v>cheeseburgers</v>
      </c>
      <c r="V18">
        <f t="shared" si="3"/>
        <v>0</v>
      </c>
      <c r="W18">
        <f t="shared" si="4"/>
        <v>0</v>
      </c>
      <c r="X18">
        <f t="shared" si="5"/>
        <v>0</v>
      </c>
      <c r="Y18">
        <f t="shared" si="6"/>
        <v>0</v>
      </c>
      <c r="AD18" s="20"/>
      <c r="AU18" s="26">
        <v>7</v>
      </c>
      <c r="AV18" s="47" cm="1">
        <f t="array" ref="AV18">DATE(INDEX(_xlfn.ANCHORARRAY($H$36),$D$5),AU$18,1)</f>
        <v>45474</v>
      </c>
      <c r="AW18" s="26" cm="1">
        <f t="array" ref="AW18">SUMIFS(TableTrend[positive],TableTrend[month],"="&amp;$AV18,TableTrend[topic],"="&amp;INDEX($C$22:$C$28,$D$3))</f>
        <v>0</v>
      </c>
      <c r="AX18" s="26" cm="1">
        <f t="array" ref="AX18">SUMIFS(TableTrend[neutral],TableTrend[month],"="&amp;$AV18,TableTrend[topic],"="&amp;INDEX($C$22:$C$28,$D$3))</f>
        <v>0</v>
      </c>
      <c r="AY18" s="26" cm="1">
        <f t="array" ref="AY18">SUMIFS(TableTrend[negative],TableTrend[month],"="&amp;$AV18,TableTrend[topic],"="&amp;INDEX($C$22:$C$28,$D$3))</f>
        <v>4</v>
      </c>
      <c r="AZ18" s="26" cm="1">
        <f t="array" ref="AZ18">SUMIFS(TableTrend[total],TableTrend[month],"="&amp;$AV18,TableTrend[topic],"="&amp;INDEX($C$22:$C$28,$D$3))</f>
        <v>4</v>
      </c>
      <c r="BA18" s="46" cm="1">
        <f t="array" ref="BA18">IF($AV$7,IFERROR(SUMIFS(TableTrend[rating_sum],TableTrend[month],"="&amp;$AV18,TableTrend[topic],"="&amp;INDEX($C$22:$C$28,$D$3)) / SUMIFS(TableTrend[rating_count],TableTrend[month],"="&amp;$AV18,TableTrend[topic],"="&amp;INDEX($C$22:$C$28,$D$3)),0),NA())</f>
        <v>2</v>
      </c>
      <c r="BB18" s="27" t="str">
        <f>_xlfn.IFNA(IF($AW18=0,"",$AW18/$AZ18),"")</f>
        <v/>
      </c>
      <c r="BC18" s="27" t="str">
        <f>_xlfn.IFNA(IF($AX18=0,"",$AX18/$AZ18),"")</f>
        <v/>
      </c>
      <c r="BD18" s="27">
        <f>_xlfn.IFNA(IF($AY18=0,"",$AY18/$AZ18),"")</f>
        <v>1</v>
      </c>
      <c r="BE18" s="22">
        <f t="shared" si="11"/>
        <v>4</v>
      </c>
      <c r="BJ18" s="22"/>
      <c r="BK18" s="22"/>
      <c r="BL18" s="22"/>
    </row>
    <row r="19" spans="2:64" x14ac:dyDescent="0.3">
      <c r="B19" s="3" t="s">
        <v>107</v>
      </c>
      <c r="C19" s="4"/>
      <c r="D19" s="4"/>
      <c r="E19" s="4"/>
      <c r="H19"/>
      <c r="J19" s="9"/>
      <c r="K19" s="54"/>
      <c r="L19" s="9"/>
      <c r="M19" s="54" t="str">
        <v>food items</v>
      </c>
      <c r="N19" s="8" cm="1">
        <f t="array" ref="N19">IF($D$6&lt;&gt;1,SUMIFS(TableAspect[positive],TableAspect[aspect],"="&amp;$M19,TableAspect[month],"="&amp;DATE(INDEX(_xlfn.ANCHORARRAY($H$36),$D$5),$D$6-1,1)),SUMIFS(TableAspect[positive],TableAspect[aspect],"="&amp;$M19,TableAspect[year],"="&amp;DATE(INDEX(_xlfn.ANCHORARRAY($H$36),$D$5),1,1)))</f>
        <v>0</v>
      </c>
      <c r="O19" s="8" cm="1">
        <f t="array" ref="O19">IF($D$6&lt;&gt;1,SUMIFS(TableAspect[neutral],TableAspect[aspect],"="&amp;$M19,TableAspect[month],"="&amp;DATE(INDEX(_xlfn.ANCHORARRAY($H$36),$D$5),$D$6-1,1)),SUMIFS(TableAspect[neutral],TableAspect[aspect],"="&amp;$M19,TableAspect[year],"="&amp;DATE(INDEX(_xlfn.ANCHORARRAY($H$36),$D$5),1,1)))</f>
        <v>0</v>
      </c>
      <c r="P19" s="8" cm="1">
        <f t="array" ref="P19">IF($D$6&lt;&gt;1,SUMIFS(TableAspect[negative],TableAspect[aspect],"="&amp;$M19,TableAspect[month],"="&amp;DATE(INDEX(_xlfn.ANCHORARRAY($H$36),$D$5),$D$6-1,1)),SUMIFS(TableAspect[negative],TableAspect[aspect],"="&amp;$M19,TableAspect[year],"="&amp;DATE(INDEX(_xlfn.ANCHORARRAY($H$36),$D$5),1,1)))</f>
        <v>0</v>
      </c>
      <c r="Q19" cm="1">
        <f t="array" ref="Q19">IF($D$6&lt;&gt;1,SUMIFS(TableAspect[total],TableAspect[aspect],"="&amp;$M19,TableAspect[month],"="&amp;DATE(INDEX(_xlfn.ANCHORARRAY($H$36),$D$5),$D$6-1,1)),SUMIFS(TableAspect[total],TableAspect[aspect],"="&amp;$M19,TableAspect[year],"="&amp;DATE(INDEX(_xlfn.ANCHORARRAY($H$36),$D$5),1,1)))</f>
        <v>0</v>
      </c>
      <c r="R19">
        <f>IF(M19&lt;&gt;0,Q19+(COUNTIFS($Q$8:Q19,Q19) - 1) * 0.000000001,"")</f>
        <v>1.1000000000000001E-8</v>
      </c>
      <c r="T19">
        <f t="shared" si="1"/>
        <v>3.9000000000000005E-8</v>
      </c>
      <c r="U19" t="str">
        <f t="shared" si="2"/>
        <v>burgers</v>
      </c>
      <c r="V19">
        <f t="shared" si="3"/>
        <v>0</v>
      </c>
      <c r="W19">
        <f t="shared" si="4"/>
        <v>0</v>
      </c>
      <c r="X19">
        <f t="shared" si="5"/>
        <v>0</v>
      </c>
      <c r="Y19">
        <f t="shared" si="6"/>
        <v>0</v>
      </c>
      <c r="AU19" s="26">
        <v>8</v>
      </c>
      <c r="AV19" s="47" cm="1">
        <f t="array" ref="AV19">DATE(INDEX(_xlfn.ANCHORARRAY($H$36),$D$5),AU$19,1)</f>
        <v>45505</v>
      </c>
      <c r="AW19" s="26" cm="1">
        <f t="array" ref="AW19">SUMIFS(TableTrend[positive],TableTrend[month],"="&amp;$AV19,TableTrend[topic],"="&amp;INDEX($C$22:$C$28,$D$3))</f>
        <v>0</v>
      </c>
      <c r="AX19" s="26" cm="1">
        <f t="array" ref="AX19">SUMIFS(TableTrend[neutral],TableTrend[month],"="&amp;$AV19,TableTrend[topic],"="&amp;INDEX($C$22:$C$28,$D$3))</f>
        <v>0</v>
      </c>
      <c r="AY19" s="26" cm="1">
        <f t="array" ref="AY19">SUMIFS(TableTrend[negative],TableTrend[month],"="&amp;$AV19,TableTrend[topic],"="&amp;INDEX($C$22:$C$28,$D$3))</f>
        <v>3</v>
      </c>
      <c r="AZ19" s="26" cm="1">
        <f t="array" ref="AZ19">SUMIFS(TableTrend[total],TableTrend[month],"="&amp;$AV19,TableTrend[topic],"="&amp;INDEX($C$22:$C$28,$D$3))</f>
        <v>3</v>
      </c>
      <c r="BA19" s="46" cm="1">
        <f t="array" ref="BA19">IF($AV$7,IFERROR(SUMIFS(TableTrend[rating_sum],TableTrend[month],"="&amp;$AV19,TableTrend[topic],"="&amp;INDEX($C$22:$C$28,$D$3)) / SUMIFS(TableTrend[rating_count],TableTrend[month],"="&amp;$AV19,TableTrend[topic],"="&amp;INDEX($C$22:$C$28,$D$3)),0),NA())</f>
        <v>2</v>
      </c>
      <c r="BB19" s="27" t="str">
        <f>_xlfn.IFNA(IF($AW19=0,"",$AW19/$AZ19),"")</f>
        <v/>
      </c>
      <c r="BC19" s="27" t="str">
        <f>_xlfn.IFNA(IF($AX19=0,"",$AX19/$AZ19),"")</f>
        <v/>
      </c>
      <c r="BD19" s="27">
        <f>_xlfn.IFNA(IF($AY19=0,"",$AY19/$AZ19),"")</f>
        <v>1</v>
      </c>
      <c r="BE19" s="22">
        <f t="shared" si="11"/>
        <v>3</v>
      </c>
      <c r="BJ19" s="22"/>
      <c r="BK19" s="22"/>
      <c r="BL19" s="22"/>
    </row>
    <row r="20" spans="2:64" x14ac:dyDescent="0.3">
      <c r="H20"/>
      <c r="J20" s="9"/>
      <c r="K20" s="54"/>
      <c r="L20" s="9"/>
      <c r="M20" s="54" t="str">
        <v>sausage</v>
      </c>
      <c r="N20" s="8" cm="1">
        <f t="array" ref="N20">IF($D$6&lt;&gt;1,SUMIFS(TableAspect[positive],TableAspect[aspect],"="&amp;$M20,TableAspect[month],"="&amp;DATE(INDEX(_xlfn.ANCHORARRAY($H$36),$D$5),$D$6-1,1)),SUMIFS(TableAspect[positive],TableAspect[aspect],"="&amp;$M20,TableAspect[year],"="&amp;DATE(INDEX(_xlfn.ANCHORARRAY($H$36),$D$5),1,1)))</f>
        <v>0</v>
      </c>
      <c r="O20" s="8" cm="1">
        <f t="array" ref="O20">IF($D$6&lt;&gt;1,SUMIFS(TableAspect[neutral],TableAspect[aspect],"="&amp;$M20,TableAspect[month],"="&amp;DATE(INDEX(_xlfn.ANCHORARRAY($H$36),$D$5),$D$6-1,1)),SUMIFS(TableAspect[neutral],TableAspect[aspect],"="&amp;$M20,TableAspect[year],"="&amp;DATE(INDEX(_xlfn.ANCHORARRAY($H$36),$D$5),1,1)))</f>
        <v>0</v>
      </c>
      <c r="P20" s="8" cm="1">
        <f t="array" ref="P20">IF($D$6&lt;&gt;1,SUMIFS(TableAspect[negative],TableAspect[aspect],"="&amp;$M20,TableAspect[month],"="&amp;DATE(INDEX(_xlfn.ANCHORARRAY($H$36),$D$5),$D$6-1,1)),SUMIFS(TableAspect[negative],TableAspect[aspect],"="&amp;$M20,TableAspect[year],"="&amp;DATE(INDEX(_xlfn.ANCHORARRAY($H$36),$D$5),1,1)))</f>
        <v>0</v>
      </c>
      <c r="Q20" cm="1">
        <f t="array" ref="Q20">IF($D$6&lt;&gt;1,SUMIFS(TableAspect[total],TableAspect[aspect],"="&amp;$M20,TableAspect[month],"="&amp;DATE(INDEX(_xlfn.ANCHORARRAY($H$36),$D$5),$D$6-1,1)),SUMIFS(TableAspect[total],TableAspect[aspect],"="&amp;$M20,TableAspect[year],"="&amp;DATE(INDEX(_xlfn.ANCHORARRAY($H$36),$D$5),1,1)))</f>
        <v>0</v>
      </c>
      <c r="R20">
        <f>IF(M20&lt;&gt;0,Q20+(COUNTIFS($Q$8:Q20,Q20) - 1) * 0.000000001,"")</f>
        <v>1.2000000000000002E-8</v>
      </c>
      <c r="T20">
        <f t="shared" si="1"/>
        <v>3.8000000000000003E-8</v>
      </c>
      <c r="U20" t="str">
        <f t="shared" si="2"/>
        <v>nuggets</v>
      </c>
      <c r="V20">
        <f t="shared" si="3"/>
        <v>0</v>
      </c>
      <c r="W20">
        <f t="shared" si="4"/>
        <v>0</v>
      </c>
      <c r="X20">
        <f t="shared" si="5"/>
        <v>0</v>
      </c>
      <c r="Y20">
        <f t="shared" si="6"/>
        <v>0</v>
      </c>
      <c r="AU20" s="26">
        <v>9</v>
      </c>
      <c r="AV20" s="47" cm="1">
        <f t="array" ref="AV20">DATE(INDEX(_xlfn.ANCHORARRAY($H$36),$D$5),AU$20,1)</f>
        <v>45536</v>
      </c>
      <c r="AW20" s="26" cm="1">
        <f t="array" ref="AW20">SUMIFS(TableTrend[positive],TableTrend[month],"="&amp;$AV20,TableTrend[topic],"="&amp;INDEX($C$22:$C$28,$D$3))</f>
        <v>2</v>
      </c>
      <c r="AX20" s="26" cm="1">
        <f t="array" ref="AX20">SUMIFS(TableTrend[neutral],TableTrend[month],"="&amp;$AV20,TableTrend[topic],"="&amp;INDEX($C$22:$C$28,$D$3))</f>
        <v>0</v>
      </c>
      <c r="AY20" s="26" cm="1">
        <f t="array" ref="AY20">SUMIFS(TableTrend[negative],TableTrend[month],"="&amp;$AV20,TableTrend[topic],"="&amp;INDEX($C$22:$C$28,$D$3))</f>
        <v>4</v>
      </c>
      <c r="AZ20" s="26" cm="1">
        <f t="array" ref="AZ20">SUMIFS(TableTrend[total],TableTrend[month],"="&amp;$AV20,TableTrend[topic],"="&amp;INDEX($C$22:$C$28,$D$3))</f>
        <v>6</v>
      </c>
      <c r="BA20" s="46" cm="1">
        <f t="array" ref="BA20">IF($AV$7,IFERROR(SUMIFS(TableTrend[rating_sum],TableTrend[month],"="&amp;$AV20,TableTrend[topic],"="&amp;INDEX($C$22:$C$28,$D$3)) / SUMIFS(TableTrend[rating_count],TableTrend[month],"="&amp;$AV20,TableTrend[topic],"="&amp;INDEX($C$22:$C$28,$D$3)),0),NA())</f>
        <v>2.1666666666666665</v>
      </c>
      <c r="BB20" s="27">
        <f>_xlfn.IFNA(IF($AW20=0,"",$AW20/$AZ20),"")</f>
        <v>0.33333333333333331</v>
      </c>
      <c r="BC20" s="27" t="str">
        <f>_xlfn.IFNA(IF($AX20=0,"",$AX20/$AZ20),"")</f>
        <v/>
      </c>
      <c r="BD20" s="27">
        <f>_xlfn.IFNA(IF($AY20=0,"",$AY20/$AZ20),"")</f>
        <v>0.66666666666666663</v>
      </c>
      <c r="BE20" s="22">
        <f t="shared" si="11"/>
        <v>6</v>
      </c>
      <c r="BJ20" s="22"/>
      <c r="BK20" s="22"/>
      <c r="BL20" s="22"/>
    </row>
    <row r="21" spans="2:64" x14ac:dyDescent="0.3">
      <c r="B21" s="5" t="s">
        <v>108</v>
      </c>
      <c r="C21" s="5" t="s">
        <v>0</v>
      </c>
      <c r="D21" s="5"/>
      <c r="E21" s="5" t="s">
        <v>277</v>
      </c>
      <c r="G21" s="5" t="s">
        <v>350</v>
      </c>
      <c r="H21" s="45" t="s">
        <v>266</v>
      </c>
      <c r="J21" s="9"/>
      <c r="K21" s="54"/>
      <c r="L21" s="9"/>
      <c r="M21" s="54" t="str">
        <v>egg</v>
      </c>
      <c r="N21" s="8" cm="1">
        <f t="array" ref="N21">IF($D$6&lt;&gt;1,SUMIFS(TableAspect[positive],TableAspect[aspect],"="&amp;$M21,TableAspect[month],"="&amp;DATE(INDEX(_xlfn.ANCHORARRAY($H$36),$D$5),$D$6-1,1)),SUMIFS(TableAspect[positive],TableAspect[aspect],"="&amp;$M21,TableAspect[year],"="&amp;DATE(INDEX(_xlfn.ANCHORARRAY($H$36),$D$5),1,1)))</f>
        <v>0</v>
      </c>
      <c r="O21" s="8" cm="1">
        <f t="array" ref="O21">IF($D$6&lt;&gt;1,SUMIFS(TableAspect[neutral],TableAspect[aspect],"="&amp;$M21,TableAspect[month],"="&amp;DATE(INDEX(_xlfn.ANCHORARRAY($H$36),$D$5),$D$6-1,1)),SUMIFS(TableAspect[neutral],TableAspect[aspect],"="&amp;$M21,TableAspect[year],"="&amp;DATE(INDEX(_xlfn.ANCHORARRAY($H$36),$D$5),1,1)))</f>
        <v>0</v>
      </c>
      <c r="P21" s="8" cm="1">
        <f t="array" ref="P21">IF($D$6&lt;&gt;1,SUMIFS(TableAspect[negative],TableAspect[aspect],"="&amp;$M21,TableAspect[month],"="&amp;DATE(INDEX(_xlfn.ANCHORARRAY($H$36),$D$5),$D$6-1,1)),SUMIFS(TableAspect[negative],TableAspect[aspect],"="&amp;$M21,TableAspect[year],"="&amp;DATE(INDEX(_xlfn.ANCHORARRAY($H$36),$D$5),1,1)))</f>
        <v>0</v>
      </c>
      <c r="Q21" cm="1">
        <f t="array" ref="Q21">IF($D$6&lt;&gt;1,SUMIFS(TableAspect[total],TableAspect[aspect],"="&amp;$M21,TableAspect[month],"="&amp;DATE(INDEX(_xlfn.ANCHORARRAY($H$36),$D$5),$D$6-1,1)),SUMIFS(TableAspect[total],TableAspect[aspect],"="&amp;$M21,TableAspect[year],"="&amp;DATE(INDEX(_xlfn.ANCHORARRAY($H$36),$D$5),1,1)))</f>
        <v>0</v>
      </c>
      <c r="R21">
        <f>IF(M21&lt;&gt;0,Q21+(COUNTIFS($Q$8:Q21,Q21) - 1) * 0.000000001,"")</f>
        <v>1.3000000000000001E-8</v>
      </c>
      <c r="T21">
        <f t="shared" si="1"/>
        <v>3.7E-8</v>
      </c>
      <c r="U21" t="str">
        <f t="shared" si="2"/>
        <v>breakfast</v>
      </c>
      <c r="V21">
        <f t="shared" si="3"/>
        <v>0</v>
      </c>
      <c r="W21">
        <f t="shared" si="4"/>
        <v>0</v>
      </c>
      <c r="X21">
        <f t="shared" si="5"/>
        <v>0</v>
      </c>
      <c r="Y21">
        <f t="shared" si="6"/>
        <v>0</v>
      </c>
      <c r="AU21" s="26">
        <v>10</v>
      </c>
      <c r="AV21" s="47" cm="1">
        <f t="array" ref="AV21">DATE(INDEX(_xlfn.ANCHORARRAY($H$36),$D$5),AU$21,1)</f>
        <v>45566</v>
      </c>
      <c r="AW21" s="26" cm="1">
        <f t="array" ref="AW21">SUMIFS(TableTrend[positive],TableTrend[month],"="&amp;$AV21,TableTrend[topic],"="&amp;INDEX($C$22:$C$28,$D$3))</f>
        <v>0</v>
      </c>
      <c r="AX21" s="26" cm="1">
        <f t="array" ref="AX21">SUMIFS(TableTrend[neutral],TableTrend[month],"="&amp;$AV21,TableTrend[topic],"="&amp;INDEX($C$22:$C$28,$D$3))</f>
        <v>2</v>
      </c>
      <c r="AY21" s="26" cm="1">
        <f t="array" ref="AY21">SUMIFS(TableTrend[negative],TableTrend[month],"="&amp;$AV21,TableTrend[topic],"="&amp;INDEX($C$22:$C$28,$D$3))</f>
        <v>5</v>
      </c>
      <c r="AZ21" s="26" cm="1">
        <f t="array" ref="AZ21">SUMIFS(TableTrend[total],TableTrend[month],"="&amp;$AV21,TableTrend[topic],"="&amp;INDEX($C$22:$C$28,$D$3))</f>
        <v>7</v>
      </c>
      <c r="BA21" s="46" cm="1">
        <f t="array" ref="BA21">IF($AV$7,IFERROR(SUMIFS(TableTrend[rating_sum],TableTrend[month],"="&amp;$AV21,TableTrend[topic],"="&amp;INDEX($C$22:$C$28,$D$3)) / SUMIFS(TableTrend[rating_count],TableTrend[month],"="&amp;$AV21,TableTrend[topic],"="&amp;INDEX($C$22:$C$28,$D$3)),0),NA())</f>
        <v>1.2857142857142858</v>
      </c>
      <c r="BB21" s="27" t="str">
        <f>_xlfn.IFNA(IF($AW21=0,"",$AW21/$AZ21),"")</f>
        <v/>
      </c>
      <c r="BC21" s="27">
        <f>_xlfn.IFNA(IF($AX21=0,"",$AX21/$AZ21),"")</f>
        <v>0.2857142857142857</v>
      </c>
      <c r="BD21" s="27">
        <f>_xlfn.IFNA(IF($AY21=0,"",$AY21/$AZ21),"")</f>
        <v>0.7142857142857143</v>
      </c>
      <c r="BE21" s="22">
        <f t="shared" si="11"/>
        <v>7</v>
      </c>
      <c r="BJ21" s="22"/>
      <c r="BK21" s="22"/>
      <c r="BL21" s="22"/>
    </row>
    <row r="22" spans="2:64" ht="28.8" x14ac:dyDescent="0.3">
      <c r="B22">
        <v>1</v>
      </c>
      <c r="C22" t="s">
        <v>32</v>
      </c>
      <c r="E22" t="s">
        <v>275</v>
      </c>
      <c r="G22">
        <v>0</v>
      </c>
      <c r="H22" s="44" t="s">
        <v>365</v>
      </c>
      <c r="J22" s="9"/>
      <c r="K22" s="54"/>
      <c r="L22" s="9"/>
      <c r="M22" s="54" t="str">
        <v>breakfast with hot cakes</v>
      </c>
      <c r="N22" s="8" cm="1">
        <f t="array" ref="N22">IF($D$6&lt;&gt;1,SUMIFS(TableAspect[positive],TableAspect[aspect],"="&amp;$M22,TableAspect[month],"="&amp;DATE(INDEX(_xlfn.ANCHORARRAY($H$36),$D$5),$D$6-1,1)),SUMIFS(TableAspect[positive],TableAspect[aspect],"="&amp;$M22,TableAspect[year],"="&amp;DATE(INDEX(_xlfn.ANCHORARRAY($H$36),$D$5),1,1)))</f>
        <v>0</v>
      </c>
      <c r="O22" s="8" cm="1">
        <f t="array" ref="O22">IF($D$6&lt;&gt;1,SUMIFS(TableAspect[neutral],TableAspect[aspect],"="&amp;$M22,TableAspect[month],"="&amp;DATE(INDEX(_xlfn.ANCHORARRAY($H$36),$D$5),$D$6-1,1)),SUMIFS(TableAspect[neutral],TableAspect[aspect],"="&amp;$M22,TableAspect[year],"="&amp;DATE(INDEX(_xlfn.ANCHORARRAY($H$36),$D$5),1,1)))</f>
        <v>0</v>
      </c>
      <c r="P22" s="8" cm="1">
        <f t="array" ref="P22">IF($D$6&lt;&gt;1,SUMIFS(TableAspect[negative],TableAspect[aspect],"="&amp;$M22,TableAspect[month],"="&amp;DATE(INDEX(_xlfn.ANCHORARRAY($H$36),$D$5),$D$6-1,1)),SUMIFS(TableAspect[negative],TableAspect[aspect],"="&amp;$M22,TableAspect[year],"="&amp;DATE(INDEX(_xlfn.ANCHORARRAY($H$36),$D$5),1,1)))</f>
        <v>0</v>
      </c>
      <c r="Q22" cm="1">
        <f t="array" ref="Q22">IF($D$6&lt;&gt;1,SUMIFS(TableAspect[total],TableAspect[aspect],"="&amp;$M22,TableAspect[month],"="&amp;DATE(INDEX(_xlfn.ANCHORARRAY($H$36),$D$5),$D$6-1,1)),SUMIFS(TableAspect[total],TableAspect[aspect],"="&amp;$M22,TableAspect[year],"="&amp;DATE(INDEX(_xlfn.ANCHORARRAY($H$36),$D$5),1,1)))</f>
        <v>0</v>
      </c>
      <c r="R22">
        <f>IF(M22&lt;&gt;0,Q22+(COUNTIFS($Q$8:Q22,Q22) - 1) * 0.000000001,"")</f>
        <v>1.4000000000000001E-8</v>
      </c>
      <c r="T22">
        <f t="shared" si="1"/>
        <v>3.6000000000000005E-8</v>
      </c>
      <c r="U22" t="str">
        <f t="shared" si="2"/>
        <v>lunch</v>
      </c>
      <c r="V22">
        <f t="shared" si="3"/>
        <v>0</v>
      </c>
      <c r="W22">
        <f t="shared" si="4"/>
        <v>0</v>
      </c>
      <c r="X22">
        <f t="shared" si="5"/>
        <v>0</v>
      </c>
      <c r="Y22">
        <f t="shared" si="6"/>
        <v>0</v>
      </c>
      <c r="AU22" s="26">
        <v>11</v>
      </c>
      <c r="AV22" s="47" cm="1">
        <f t="array" ref="AV22">DATE(INDEX(_xlfn.ANCHORARRAY($H$36),$D$5),AU$22,1)</f>
        <v>45597</v>
      </c>
      <c r="AW22" s="26" cm="1">
        <f t="array" ref="AW22">SUMIFS(TableTrend[positive],TableTrend[month],"="&amp;$AV22,TableTrend[topic],"="&amp;INDEX($C$22:$C$28,$D$3))</f>
        <v>2</v>
      </c>
      <c r="AX22" s="26" cm="1">
        <f t="array" ref="AX22">SUMIFS(TableTrend[neutral],TableTrend[month],"="&amp;$AV22,TableTrend[topic],"="&amp;INDEX($C$22:$C$28,$D$3))</f>
        <v>4</v>
      </c>
      <c r="AY22" s="26" cm="1">
        <f t="array" ref="AY22">SUMIFS(TableTrend[negative],TableTrend[month],"="&amp;$AV22,TableTrend[topic],"="&amp;INDEX($C$22:$C$28,$D$3))</f>
        <v>1</v>
      </c>
      <c r="AZ22" s="26" cm="1">
        <f t="array" ref="AZ22">SUMIFS(TableTrend[total],TableTrend[month],"="&amp;$AV22,TableTrend[topic],"="&amp;INDEX($C$22:$C$28,$D$3))</f>
        <v>7</v>
      </c>
      <c r="BA22" s="46" cm="1">
        <f t="array" ref="BA22">IF($AV$7,IFERROR(SUMIFS(TableTrend[rating_sum],TableTrend[month],"="&amp;$AV22,TableTrend[topic],"="&amp;INDEX($C$22:$C$28,$D$3)) / SUMIFS(TableTrend[rating_count],TableTrend[month],"="&amp;$AV22,TableTrend[topic],"="&amp;INDEX($C$22:$C$28,$D$3)),0),NA())</f>
        <v>2.8571428571428572</v>
      </c>
      <c r="BB22" s="27">
        <f>_xlfn.IFNA(IF($AW22=0,"",$AW22/$AZ22),"")</f>
        <v>0.2857142857142857</v>
      </c>
      <c r="BC22" s="27">
        <f>_xlfn.IFNA(IF($AX22=0,"",$AX22/$AZ22),"")</f>
        <v>0.5714285714285714</v>
      </c>
      <c r="BD22" s="27">
        <f>_xlfn.IFNA(IF($AY22=0,"",$AY22/$AZ22),"")</f>
        <v>0.14285714285714285</v>
      </c>
      <c r="BE22" s="22">
        <f t="shared" si="11"/>
        <v>7</v>
      </c>
      <c r="BJ22" s="22"/>
      <c r="BK22" s="22"/>
      <c r="BL22" s="22"/>
    </row>
    <row r="23" spans="2:64" x14ac:dyDescent="0.3">
      <c r="B23">
        <v>2</v>
      </c>
      <c r="C23" t="s">
        <v>6</v>
      </c>
      <c r="E23" t="s">
        <v>109</v>
      </c>
      <c r="G23">
        <v>1</v>
      </c>
      <c r="H23" s="44" t="s">
        <v>353</v>
      </c>
      <c r="J23" s="9"/>
      <c r="K23" s="54"/>
      <c r="L23" s="9"/>
      <c r="M23" s="54" t="str">
        <v>food burger</v>
      </c>
      <c r="N23" s="8" cm="1">
        <f t="array" ref="N23">IF($D$6&lt;&gt;1,SUMIFS(TableAspect[positive],TableAspect[aspect],"="&amp;$M23,TableAspect[month],"="&amp;DATE(INDEX(_xlfn.ANCHORARRAY($H$36),$D$5),$D$6-1,1)),SUMIFS(TableAspect[positive],TableAspect[aspect],"="&amp;$M23,TableAspect[year],"="&amp;DATE(INDEX(_xlfn.ANCHORARRAY($H$36),$D$5),1,1)))</f>
        <v>0</v>
      </c>
      <c r="O23" s="8" cm="1">
        <f t="array" ref="O23">IF($D$6&lt;&gt;1,SUMIFS(TableAspect[neutral],TableAspect[aspect],"="&amp;$M23,TableAspect[month],"="&amp;DATE(INDEX(_xlfn.ANCHORARRAY($H$36),$D$5),$D$6-1,1)),SUMIFS(TableAspect[neutral],TableAspect[aspect],"="&amp;$M23,TableAspect[year],"="&amp;DATE(INDEX(_xlfn.ANCHORARRAY($H$36),$D$5),1,1)))</f>
        <v>0</v>
      </c>
      <c r="P23" s="8" cm="1">
        <f t="array" ref="P23">IF($D$6&lt;&gt;1,SUMIFS(TableAspect[negative],TableAspect[aspect],"="&amp;$M23,TableAspect[month],"="&amp;DATE(INDEX(_xlfn.ANCHORARRAY($H$36),$D$5),$D$6-1,1)),SUMIFS(TableAspect[negative],TableAspect[aspect],"="&amp;$M23,TableAspect[year],"="&amp;DATE(INDEX(_xlfn.ANCHORARRAY($H$36),$D$5),1,1)))</f>
        <v>0</v>
      </c>
      <c r="Q23" cm="1">
        <f t="array" ref="Q23">IF($D$6&lt;&gt;1,SUMIFS(TableAspect[total],TableAspect[aspect],"="&amp;$M23,TableAspect[month],"="&amp;DATE(INDEX(_xlfn.ANCHORARRAY($H$36),$D$5),$D$6-1,1)),SUMIFS(TableAspect[total],TableAspect[aspect],"="&amp;$M23,TableAspect[year],"="&amp;DATE(INDEX(_xlfn.ANCHORARRAY($H$36),$D$5),1,1)))</f>
        <v>0</v>
      </c>
      <c r="R23">
        <f>IF(M23&lt;&gt;0,Q23+(COUNTIFS($Q$8:Q23,Q23) - 1) * 0.000000001,"")</f>
        <v>1.5000000000000002E-8</v>
      </c>
      <c r="T23">
        <f t="shared" si="1"/>
        <v>3.5000000000000002E-8</v>
      </c>
      <c r="U23" t="str">
        <f t="shared" si="2"/>
        <v>menu</v>
      </c>
      <c r="V23">
        <f t="shared" si="3"/>
        <v>0</v>
      </c>
      <c r="W23">
        <f t="shared" si="4"/>
        <v>0</v>
      </c>
      <c r="X23">
        <f t="shared" si="5"/>
        <v>0</v>
      </c>
      <c r="Y23">
        <f t="shared" si="6"/>
        <v>0</v>
      </c>
      <c r="AU23" s="26">
        <v>12</v>
      </c>
      <c r="AV23" s="47" cm="1">
        <f t="array" ref="AV23">DATE(INDEX(_xlfn.ANCHORARRAY($H$36),$D$5),AU$23,1)</f>
        <v>45627</v>
      </c>
      <c r="AW23" s="26" cm="1">
        <f t="array" ref="AW23">SUMIFS(TableTrend[positive],TableTrend[month],"="&amp;$AV23,TableTrend[topic],"="&amp;INDEX($C$22:$C$28,$D$3))</f>
        <v>2</v>
      </c>
      <c r="AX23" s="26" cm="1">
        <f t="array" ref="AX23">SUMIFS(TableTrend[neutral],TableTrend[month],"="&amp;$AV23,TableTrend[topic],"="&amp;INDEX($C$22:$C$28,$D$3))</f>
        <v>0</v>
      </c>
      <c r="AY23" s="26" cm="1">
        <f t="array" ref="AY23">SUMIFS(TableTrend[negative],TableTrend[month],"="&amp;$AV23,TableTrend[topic],"="&amp;INDEX($C$22:$C$28,$D$3))</f>
        <v>0</v>
      </c>
      <c r="AZ23" s="26" cm="1">
        <f t="array" ref="AZ23">SUMIFS(TableTrend[total],TableTrend[month],"="&amp;$AV23,TableTrend[topic],"="&amp;INDEX($C$22:$C$28,$D$3))</f>
        <v>2</v>
      </c>
      <c r="BA23" s="46" cm="1">
        <f t="array" ref="BA23">IF($AV$7,IFERROR(SUMIFS(TableTrend[rating_sum],TableTrend[month],"="&amp;$AV23,TableTrend[topic],"="&amp;INDEX($C$22:$C$28,$D$3)) / SUMIFS(TableTrend[rating_count],TableTrend[month],"="&amp;$AV23,TableTrend[topic],"="&amp;INDEX($C$22:$C$28,$D$3)),0),NA())</f>
        <v>4</v>
      </c>
      <c r="BB23" s="27">
        <f>_xlfn.IFNA(IF($AW23=0,"",$AW23/$AZ23),"")</f>
        <v>1</v>
      </c>
      <c r="BC23" s="27" t="str">
        <f>_xlfn.IFNA(IF($AX23=0,"",$AX23/$AZ23),"")</f>
        <v/>
      </c>
      <c r="BD23" s="27" t="str">
        <f>_xlfn.IFNA(IF($AY23=0,"",$AY23/$AZ23),"")</f>
        <v/>
      </c>
      <c r="BE23" s="22">
        <f t="shared" si="11"/>
        <v>2</v>
      </c>
      <c r="BJ23" s="22"/>
      <c r="BK23" s="22"/>
      <c r="BL23" s="22"/>
    </row>
    <row r="24" spans="2:64" x14ac:dyDescent="0.3">
      <c r="B24">
        <v>3</v>
      </c>
      <c r="C24" t="s">
        <v>90</v>
      </c>
      <c r="G24">
        <v>2</v>
      </c>
      <c r="H24" s="44" t="s">
        <v>354</v>
      </c>
      <c r="J24" s="9"/>
      <c r="K24" s="54"/>
      <c r="L24" s="9"/>
      <c r="M24" s="54" t="str">
        <v>chicken sandwich</v>
      </c>
      <c r="N24" s="8" cm="1">
        <f t="array" ref="N24">IF($D$6&lt;&gt;1,SUMIFS(TableAspect[positive],TableAspect[aspect],"="&amp;$M24,TableAspect[month],"="&amp;DATE(INDEX(_xlfn.ANCHORARRAY($H$36),$D$5),$D$6-1,1)),SUMIFS(TableAspect[positive],TableAspect[aspect],"="&amp;$M24,TableAspect[year],"="&amp;DATE(INDEX(_xlfn.ANCHORARRAY($H$36),$D$5),1,1)))</f>
        <v>0</v>
      </c>
      <c r="O24" s="8" cm="1">
        <f t="array" ref="O24">IF($D$6&lt;&gt;1,SUMIFS(TableAspect[neutral],TableAspect[aspect],"="&amp;$M24,TableAspect[month],"="&amp;DATE(INDEX(_xlfn.ANCHORARRAY($H$36),$D$5),$D$6-1,1)),SUMIFS(TableAspect[neutral],TableAspect[aspect],"="&amp;$M24,TableAspect[year],"="&amp;DATE(INDEX(_xlfn.ANCHORARRAY($H$36),$D$5),1,1)))</f>
        <v>0</v>
      </c>
      <c r="P24" s="8" cm="1">
        <f t="array" ref="P24">IF($D$6&lt;&gt;1,SUMIFS(TableAspect[negative],TableAspect[aspect],"="&amp;$M24,TableAspect[month],"="&amp;DATE(INDEX(_xlfn.ANCHORARRAY($H$36),$D$5),$D$6-1,1)),SUMIFS(TableAspect[negative],TableAspect[aspect],"="&amp;$M24,TableAspect[year],"="&amp;DATE(INDEX(_xlfn.ANCHORARRAY($H$36),$D$5),1,1)))</f>
        <v>0</v>
      </c>
      <c r="Q24" cm="1">
        <f t="array" ref="Q24">IF($D$6&lt;&gt;1,SUMIFS(TableAspect[total],TableAspect[aspect],"="&amp;$M24,TableAspect[month],"="&amp;DATE(INDEX(_xlfn.ANCHORARRAY($H$36),$D$5),$D$6-1,1)),SUMIFS(TableAspect[total],TableAspect[aspect],"="&amp;$M24,TableAspect[year],"="&amp;DATE(INDEX(_xlfn.ANCHORARRAY($H$36),$D$5),1,1)))</f>
        <v>0</v>
      </c>
      <c r="R24">
        <f>IF(M24&lt;&gt;0,Q24+(COUNTIFS($Q$8:Q24,Q24) - 1) * 0.000000001,"")</f>
        <v>1.6000000000000001E-8</v>
      </c>
      <c r="T24">
        <f t="shared" si="1"/>
        <v>3.4E-8</v>
      </c>
      <c r="U24" t="str">
        <f t="shared" si="2"/>
        <v>lettuce and tomato</v>
      </c>
      <c r="V24">
        <f t="shared" si="3"/>
        <v>0</v>
      </c>
      <c r="W24">
        <f t="shared" si="4"/>
        <v>0</v>
      </c>
      <c r="X24">
        <f t="shared" si="5"/>
        <v>0</v>
      </c>
      <c r="Y24">
        <f t="shared" si="6"/>
        <v>0</v>
      </c>
      <c r="BJ24" s="22"/>
      <c r="BK24" s="22"/>
      <c r="BL24" s="22"/>
    </row>
    <row r="25" spans="2:64" x14ac:dyDescent="0.3">
      <c r="B25">
        <v>4</v>
      </c>
      <c r="C25" t="s">
        <v>91</v>
      </c>
      <c r="G25">
        <v>3</v>
      </c>
      <c r="H25" s="44" t="s">
        <v>355</v>
      </c>
      <c r="J25" s="9"/>
      <c r="K25" s="54"/>
      <c r="L25" s="9"/>
      <c r="M25" s="54" t="str">
        <v>apples strawberries</v>
      </c>
      <c r="N25" s="8" cm="1">
        <f t="array" ref="N25">IF($D$6&lt;&gt;1,SUMIFS(TableAspect[positive],TableAspect[aspect],"="&amp;$M25,TableAspect[month],"="&amp;DATE(INDEX(_xlfn.ANCHORARRAY($H$36),$D$5),$D$6-1,1)),SUMIFS(TableAspect[positive],TableAspect[aspect],"="&amp;$M25,TableAspect[year],"="&amp;DATE(INDEX(_xlfn.ANCHORARRAY($H$36),$D$5),1,1)))</f>
        <v>0</v>
      </c>
      <c r="O25" s="8" cm="1">
        <f t="array" ref="O25">IF($D$6&lt;&gt;1,SUMIFS(TableAspect[neutral],TableAspect[aspect],"="&amp;$M25,TableAspect[month],"="&amp;DATE(INDEX(_xlfn.ANCHORARRAY($H$36),$D$5),$D$6-1,1)),SUMIFS(TableAspect[neutral],TableAspect[aspect],"="&amp;$M25,TableAspect[year],"="&amp;DATE(INDEX(_xlfn.ANCHORARRAY($H$36),$D$5),1,1)))</f>
        <v>0</v>
      </c>
      <c r="P25" s="8" cm="1">
        <f t="array" ref="P25">IF($D$6&lt;&gt;1,SUMIFS(TableAspect[negative],TableAspect[aspect],"="&amp;$M25,TableAspect[month],"="&amp;DATE(INDEX(_xlfn.ANCHORARRAY($H$36),$D$5),$D$6-1,1)),SUMIFS(TableAspect[negative],TableAspect[aspect],"="&amp;$M25,TableAspect[year],"="&amp;DATE(INDEX(_xlfn.ANCHORARRAY($H$36),$D$5),1,1)))</f>
        <v>0</v>
      </c>
      <c r="Q25" cm="1">
        <f t="array" ref="Q25">IF($D$6&lt;&gt;1,SUMIFS(TableAspect[total],TableAspect[aspect],"="&amp;$M25,TableAspect[month],"="&amp;DATE(INDEX(_xlfn.ANCHORARRAY($H$36),$D$5),$D$6-1,1)),SUMIFS(TableAspect[total],TableAspect[aspect],"="&amp;$M25,TableAspect[year],"="&amp;DATE(INDEX(_xlfn.ANCHORARRAY($H$36),$D$5),1,1)))</f>
        <v>0</v>
      </c>
      <c r="R25">
        <f>IF(M25&lt;&gt;0,Q25+(COUNTIFS($Q$8:Q25,Q25) - 1) * 0.000000001,"")</f>
        <v>1.7E-8</v>
      </c>
      <c r="T25">
        <f t="shared" si="1"/>
        <v>3.3000000000000004E-8</v>
      </c>
      <c r="U25" t="str">
        <f t="shared" si="2"/>
        <v>large</v>
      </c>
      <c r="V25">
        <f t="shared" si="3"/>
        <v>0</v>
      </c>
      <c r="W25">
        <f t="shared" si="4"/>
        <v>0</v>
      </c>
      <c r="X25">
        <f t="shared" si="5"/>
        <v>0</v>
      </c>
      <c r="Y25">
        <f t="shared" si="6"/>
        <v>0</v>
      </c>
      <c r="BJ25" s="22"/>
      <c r="BK25" s="22"/>
      <c r="BL25" s="22"/>
    </row>
    <row r="26" spans="2:64" x14ac:dyDescent="0.3">
      <c r="B26">
        <v>5</v>
      </c>
      <c r="C26" t="s">
        <v>13</v>
      </c>
      <c r="G26">
        <v>4</v>
      </c>
      <c r="H26" s="44" t="s">
        <v>356</v>
      </c>
      <c r="J26" s="9"/>
      <c r="K26" s="54"/>
      <c r="L26" s="9"/>
      <c r="M26" s="54" t="str">
        <v>bag of food</v>
      </c>
      <c r="N26" s="8" cm="1">
        <f t="array" ref="N26">IF($D$6&lt;&gt;1,SUMIFS(TableAspect[positive],TableAspect[aspect],"="&amp;$M26,TableAspect[month],"="&amp;DATE(INDEX(_xlfn.ANCHORARRAY($H$36),$D$5),$D$6-1,1)),SUMIFS(TableAspect[positive],TableAspect[aspect],"="&amp;$M26,TableAspect[year],"="&amp;DATE(INDEX(_xlfn.ANCHORARRAY($H$36),$D$5),1,1)))</f>
        <v>0</v>
      </c>
      <c r="O26" s="8" cm="1">
        <f t="array" ref="O26">IF($D$6&lt;&gt;1,SUMIFS(TableAspect[neutral],TableAspect[aspect],"="&amp;$M26,TableAspect[month],"="&amp;DATE(INDEX(_xlfn.ANCHORARRAY($H$36),$D$5),$D$6-1,1)),SUMIFS(TableAspect[neutral],TableAspect[aspect],"="&amp;$M26,TableAspect[year],"="&amp;DATE(INDEX(_xlfn.ANCHORARRAY($H$36),$D$5),1,1)))</f>
        <v>0</v>
      </c>
      <c r="P26" s="8" cm="1">
        <f t="array" ref="P26">IF($D$6&lt;&gt;1,SUMIFS(TableAspect[negative],TableAspect[aspect],"="&amp;$M26,TableAspect[month],"="&amp;DATE(INDEX(_xlfn.ANCHORARRAY($H$36),$D$5),$D$6-1,1)),SUMIFS(TableAspect[negative],TableAspect[aspect],"="&amp;$M26,TableAspect[year],"="&amp;DATE(INDEX(_xlfn.ANCHORARRAY($H$36),$D$5),1,1)))</f>
        <v>0</v>
      </c>
      <c r="Q26" cm="1">
        <f t="array" ref="Q26">IF($D$6&lt;&gt;1,SUMIFS(TableAspect[total],TableAspect[aspect],"="&amp;$M26,TableAspect[month],"="&amp;DATE(INDEX(_xlfn.ANCHORARRAY($H$36),$D$5),$D$6-1,1)),SUMIFS(TableAspect[total],TableAspect[aspect],"="&amp;$M26,TableAspect[year],"="&amp;DATE(INDEX(_xlfn.ANCHORARRAY($H$36),$D$5),1,1)))</f>
        <v>0</v>
      </c>
      <c r="R26">
        <f>IF(M26&lt;&gt;0,Q26+(COUNTIFS($Q$8:Q26,Q26) - 1) * 0.000000001,"")</f>
        <v>1.8000000000000002E-8</v>
      </c>
      <c r="T26">
        <f t="shared" si="1"/>
        <v>3.2000000000000002E-8</v>
      </c>
      <c r="U26" t="str">
        <f t="shared" si="2"/>
        <v>fry</v>
      </c>
      <c r="V26">
        <f t="shared" si="3"/>
        <v>0</v>
      </c>
      <c r="W26">
        <f t="shared" si="4"/>
        <v>0</v>
      </c>
      <c r="X26">
        <f t="shared" si="5"/>
        <v>0</v>
      </c>
      <c r="Y26">
        <f t="shared" si="6"/>
        <v>0</v>
      </c>
      <c r="BJ26" s="22"/>
      <c r="BK26" s="22"/>
      <c r="BL26" s="22"/>
    </row>
    <row r="27" spans="2:64" x14ac:dyDescent="0.3">
      <c r="B27">
        <v>6</v>
      </c>
      <c r="C27" t="s">
        <v>92</v>
      </c>
      <c r="G27">
        <v>5</v>
      </c>
      <c r="H27" s="44" t="s">
        <v>357</v>
      </c>
      <c r="J27" s="7"/>
      <c r="L27" s="7"/>
      <c r="M27" s="44" t="str">
        <v>drink</v>
      </c>
      <c r="N27" s="8" cm="1">
        <f t="array" ref="N27">IF($D$6&lt;&gt;1,SUMIFS(TableAspect[positive],TableAspect[aspect],"="&amp;$M27,TableAspect[month],"="&amp;DATE(INDEX(_xlfn.ANCHORARRAY($H$36),$D$5),$D$6-1,1)),SUMIFS(TableAspect[positive],TableAspect[aspect],"="&amp;$M27,TableAspect[year],"="&amp;DATE(INDEX(_xlfn.ANCHORARRAY($H$36),$D$5),1,1)))</f>
        <v>0</v>
      </c>
      <c r="O27" s="8" cm="1">
        <f t="array" ref="O27">IF($D$6&lt;&gt;1,SUMIFS(TableAspect[neutral],TableAspect[aspect],"="&amp;$M27,TableAspect[month],"="&amp;DATE(INDEX(_xlfn.ANCHORARRAY($H$36),$D$5),$D$6-1,1)),SUMIFS(TableAspect[neutral],TableAspect[aspect],"="&amp;$M27,TableAspect[year],"="&amp;DATE(INDEX(_xlfn.ANCHORARRAY($H$36),$D$5),1,1)))</f>
        <v>0</v>
      </c>
      <c r="P27" s="8" cm="1">
        <f t="array" ref="P27">IF($D$6&lt;&gt;1,SUMIFS(TableAspect[negative],TableAspect[aspect],"="&amp;$M27,TableAspect[month],"="&amp;DATE(INDEX(_xlfn.ANCHORARRAY($H$36),$D$5),$D$6-1,1)),SUMIFS(TableAspect[negative],TableAspect[aspect],"="&amp;$M27,TableAspect[year],"="&amp;DATE(INDEX(_xlfn.ANCHORARRAY($H$36),$D$5),1,1)))</f>
        <v>0</v>
      </c>
      <c r="Q27" cm="1">
        <f t="array" ref="Q27">IF($D$6&lt;&gt;1,SUMIFS(TableAspect[total],TableAspect[aspect],"="&amp;$M27,TableAspect[month],"="&amp;DATE(INDEX(_xlfn.ANCHORARRAY($H$36),$D$5),$D$6-1,1)),SUMIFS(TableAspect[total],TableAspect[aspect],"="&amp;$M27,TableAspect[year],"="&amp;DATE(INDEX(_xlfn.ANCHORARRAY($H$36),$D$5),1,1)))</f>
        <v>0</v>
      </c>
      <c r="R27">
        <f>IF(M27&lt;&gt;0,Q27+(COUNTIFS($Q$8:Q27,Q27) - 1) * 0.000000001,"")</f>
        <v>1.9000000000000001E-8</v>
      </c>
      <c r="T27">
        <f t="shared" si="1"/>
        <v>3.1E-8</v>
      </c>
      <c r="U27" t="str">
        <f t="shared" si="2"/>
        <v>chicken sandwiches</v>
      </c>
      <c r="V27">
        <f t="shared" si="3"/>
        <v>0</v>
      </c>
      <c r="W27">
        <f t="shared" si="4"/>
        <v>0</v>
      </c>
      <c r="X27">
        <f t="shared" si="5"/>
        <v>0</v>
      </c>
      <c r="Y27">
        <f t="shared" si="6"/>
        <v>0</v>
      </c>
      <c r="BJ27" s="22"/>
      <c r="BK27" s="22"/>
      <c r="BL27" s="22"/>
    </row>
    <row r="28" spans="2:64" x14ac:dyDescent="0.3">
      <c r="B28">
        <v>7</v>
      </c>
      <c r="C28" t="s">
        <v>79</v>
      </c>
      <c r="G28">
        <v>6</v>
      </c>
      <c r="H28" s="44" t="s">
        <v>358</v>
      </c>
      <c r="J28" s="7"/>
      <c r="L28" s="7"/>
      <c r="M28" s="44" t="str">
        <v>water</v>
      </c>
      <c r="N28" s="8" cm="1">
        <f t="array" ref="N28">IF($D$6&lt;&gt;1,SUMIFS(TableAspect[positive],TableAspect[aspect],"="&amp;$M28,TableAspect[month],"="&amp;DATE(INDEX(_xlfn.ANCHORARRAY($H$36),$D$5),$D$6-1,1)),SUMIFS(TableAspect[positive],TableAspect[aspect],"="&amp;$M28,TableAspect[year],"="&amp;DATE(INDEX(_xlfn.ANCHORARRAY($H$36),$D$5),1,1)))</f>
        <v>0</v>
      </c>
      <c r="O28" s="8" cm="1">
        <f t="array" ref="O28">IF($D$6&lt;&gt;1,SUMIFS(TableAspect[neutral],TableAspect[aspect],"="&amp;$M28,TableAspect[month],"="&amp;DATE(INDEX(_xlfn.ANCHORARRAY($H$36),$D$5),$D$6-1,1)),SUMIFS(TableAspect[neutral],TableAspect[aspect],"="&amp;$M28,TableAspect[year],"="&amp;DATE(INDEX(_xlfn.ANCHORARRAY($H$36),$D$5),1,1)))</f>
        <v>0</v>
      </c>
      <c r="P28" s="8" cm="1">
        <f t="array" ref="P28">IF($D$6&lt;&gt;1,SUMIFS(TableAspect[negative],TableAspect[aspect],"="&amp;$M28,TableAspect[month],"="&amp;DATE(INDEX(_xlfn.ANCHORARRAY($H$36),$D$5),$D$6-1,1)),SUMIFS(TableAspect[negative],TableAspect[aspect],"="&amp;$M28,TableAspect[year],"="&amp;DATE(INDEX(_xlfn.ANCHORARRAY($H$36),$D$5),1,1)))</f>
        <v>0</v>
      </c>
      <c r="Q28" cm="1">
        <f t="array" ref="Q28">IF($D$6&lt;&gt;1,SUMIFS(TableAspect[total],TableAspect[aspect],"="&amp;$M28,TableAspect[month],"="&amp;DATE(INDEX(_xlfn.ANCHORARRAY($H$36),$D$5),$D$6-1,1)),SUMIFS(TableAspect[total],TableAspect[aspect],"="&amp;$M28,TableAspect[year],"="&amp;DATE(INDEX(_xlfn.ANCHORARRAY($H$36),$D$5),1,1)))</f>
        <v>0</v>
      </c>
      <c r="R28">
        <f>IF(M28&lt;&gt;0,Q28+(COUNTIFS($Q$8:Q28,Q28) - 1) * 0.000000001,"")</f>
        <v>2E-8</v>
      </c>
      <c r="T28">
        <f t="shared" si="1"/>
        <v>3.0000000000000004E-8</v>
      </c>
      <c r="U28" t="str">
        <f t="shared" si="2"/>
        <v>spicy chicken sandwich</v>
      </c>
      <c r="V28">
        <f t="shared" si="3"/>
        <v>0</v>
      </c>
      <c r="W28">
        <f t="shared" si="4"/>
        <v>0</v>
      </c>
      <c r="X28">
        <f t="shared" si="5"/>
        <v>0</v>
      </c>
      <c r="Y28">
        <f t="shared" si="6"/>
        <v>0</v>
      </c>
    </row>
    <row r="29" spans="2:64" x14ac:dyDescent="0.3">
      <c r="G29">
        <v>7</v>
      </c>
      <c r="H29" s="44" t="s">
        <v>359</v>
      </c>
      <c r="J29" s="7"/>
      <c r="L29" s="7"/>
      <c r="M29" s="44" t="str">
        <v>strawberry banana smoothies</v>
      </c>
      <c r="N29" s="8" cm="1">
        <f t="array" ref="N29">IF($D$6&lt;&gt;1,SUMIFS(TableAspect[positive],TableAspect[aspect],"="&amp;$M29,TableAspect[month],"="&amp;DATE(INDEX(_xlfn.ANCHORARRAY($H$36),$D$5),$D$6-1,1)),SUMIFS(TableAspect[positive],TableAspect[aspect],"="&amp;$M29,TableAspect[year],"="&amp;DATE(INDEX(_xlfn.ANCHORARRAY($H$36),$D$5),1,1)))</f>
        <v>0</v>
      </c>
      <c r="O29" s="8" cm="1">
        <f t="array" ref="O29">IF($D$6&lt;&gt;1,SUMIFS(TableAspect[neutral],TableAspect[aspect],"="&amp;$M29,TableAspect[month],"="&amp;DATE(INDEX(_xlfn.ANCHORARRAY($H$36),$D$5),$D$6-1,1)),SUMIFS(TableAspect[neutral],TableAspect[aspect],"="&amp;$M29,TableAspect[year],"="&amp;DATE(INDEX(_xlfn.ANCHORARRAY($H$36),$D$5),1,1)))</f>
        <v>0</v>
      </c>
      <c r="P29" s="8" cm="1">
        <f t="array" ref="P29">IF($D$6&lt;&gt;1,SUMIFS(TableAspect[negative],TableAspect[aspect],"="&amp;$M29,TableAspect[month],"="&amp;DATE(INDEX(_xlfn.ANCHORARRAY($H$36),$D$5),$D$6-1,1)),SUMIFS(TableAspect[negative],TableAspect[aspect],"="&amp;$M29,TableAspect[year],"="&amp;DATE(INDEX(_xlfn.ANCHORARRAY($H$36),$D$5),1,1)))</f>
        <v>0</v>
      </c>
      <c r="Q29" cm="1">
        <f t="array" ref="Q29">IF($D$6&lt;&gt;1,SUMIFS(TableAspect[total],TableAspect[aspect],"="&amp;$M29,TableAspect[month],"="&amp;DATE(INDEX(_xlfn.ANCHORARRAY($H$36),$D$5),$D$6-1,1)),SUMIFS(TableAspect[total],TableAspect[aspect],"="&amp;$M29,TableAspect[year],"="&amp;DATE(INDEX(_xlfn.ANCHORARRAY($H$36),$D$5),1,1)))</f>
        <v>0</v>
      </c>
      <c r="R29">
        <f>IF(M29&lt;&gt;0,Q29+(COUNTIFS($Q$8:Q29,Q29) - 1) * 0.000000001,"")</f>
        <v>2.1000000000000003E-8</v>
      </c>
      <c r="T29">
        <f t="shared" si="1"/>
        <v>2.9000000000000002E-8</v>
      </c>
      <c r="U29" t="str">
        <f t="shared" si="2"/>
        <v>caramel mocha</v>
      </c>
      <c r="V29">
        <f t="shared" si="3"/>
        <v>0</v>
      </c>
      <c r="W29">
        <f t="shared" si="4"/>
        <v>0</v>
      </c>
      <c r="X29">
        <f t="shared" si="5"/>
        <v>0</v>
      </c>
      <c r="Y29">
        <f t="shared" si="6"/>
        <v>0</v>
      </c>
    </row>
    <row r="30" spans="2:64" x14ac:dyDescent="0.3">
      <c r="G30">
        <v>8</v>
      </c>
      <c r="H30" s="44" t="s">
        <v>360</v>
      </c>
      <c r="J30" s="7"/>
      <c r="L30" s="7"/>
      <c r="M30" s="44" t="str">
        <v>smoothie</v>
      </c>
      <c r="N30" s="8" cm="1">
        <f t="array" ref="N30">IF($D$6&lt;&gt;1,SUMIFS(TableAspect[positive],TableAspect[aspect],"="&amp;$M30,TableAspect[month],"="&amp;DATE(INDEX(_xlfn.ANCHORARRAY($H$36),$D$5),$D$6-1,1)),SUMIFS(TableAspect[positive],TableAspect[aspect],"="&amp;$M30,TableAspect[year],"="&amp;DATE(INDEX(_xlfn.ANCHORARRAY($H$36),$D$5),1,1)))</f>
        <v>0</v>
      </c>
      <c r="O30" s="8" cm="1">
        <f t="array" ref="O30">IF($D$6&lt;&gt;1,SUMIFS(TableAspect[neutral],TableAspect[aspect],"="&amp;$M30,TableAspect[month],"="&amp;DATE(INDEX(_xlfn.ANCHORARRAY($H$36),$D$5),$D$6-1,1)),SUMIFS(TableAspect[neutral],TableAspect[aspect],"="&amp;$M30,TableAspect[year],"="&amp;DATE(INDEX(_xlfn.ANCHORARRAY($H$36),$D$5),1,1)))</f>
        <v>0</v>
      </c>
      <c r="P30" s="8" cm="1">
        <f t="array" ref="P30">IF($D$6&lt;&gt;1,SUMIFS(TableAspect[negative],TableAspect[aspect],"="&amp;$M30,TableAspect[month],"="&amp;DATE(INDEX(_xlfn.ANCHORARRAY($H$36),$D$5),$D$6-1,1)),SUMIFS(TableAspect[negative],TableAspect[aspect],"="&amp;$M30,TableAspect[year],"="&amp;DATE(INDEX(_xlfn.ANCHORARRAY($H$36),$D$5),1,1)))</f>
        <v>0</v>
      </c>
      <c r="Q30" cm="1">
        <f t="array" ref="Q30">IF($D$6&lt;&gt;1,SUMIFS(TableAspect[total],TableAspect[aspect],"="&amp;$M30,TableAspect[month],"="&amp;DATE(INDEX(_xlfn.ANCHORARRAY($H$36),$D$5),$D$6-1,1)),SUMIFS(TableAspect[total],TableAspect[aspect],"="&amp;$M30,TableAspect[year],"="&amp;DATE(INDEX(_xlfn.ANCHORARRAY($H$36),$D$5),1,1)))</f>
        <v>0</v>
      </c>
      <c r="R30">
        <f>IF(M30&lt;&gt;0,Q30+(COUNTIFS($Q$8:Q30,Q30) - 1) * 0.000000001,"")</f>
        <v>2.2000000000000002E-8</v>
      </c>
      <c r="T30">
        <f t="shared" si="1"/>
        <v>2.8000000000000003E-8</v>
      </c>
      <c r="U30" t="str">
        <f t="shared" si="2"/>
        <v>sausage biscuit</v>
      </c>
      <c r="V30">
        <f t="shared" si="3"/>
        <v>0</v>
      </c>
      <c r="W30">
        <f t="shared" si="4"/>
        <v>0</v>
      </c>
      <c r="X30">
        <f t="shared" si="5"/>
        <v>0</v>
      </c>
      <c r="Y30">
        <f t="shared" si="6"/>
        <v>0</v>
      </c>
    </row>
    <row r="31" spans="2:64" x14ac:dyDescent="0.3">
      <c r="G31">
        <v>9</v>
      </c>
      <c r="H31" s="44" t="s">
        <v>361</v>
      </c>
      <c r="J31" s="7"/>
      <c r="L31" s="7"/>
      <c r="M31" s="44" t="str">
        <v>hash brownsies</v>
      </c>
      <c r="N31" s="8" cm="1">
        <f t="array" ref="N31">IF($D$6&lt;&gt;1,SUMIFS(TableAspect[positive],TableAspect[aspect],"="&amp;$M31,TableAspect[month],"="&amp;DATE(INDEX(_xlfn.ANCHORARRAY($H$36),$D$5),$D$6-1,1)),SUMIFS(TableAspect[positive],TableAspect[aspect],"="&amp;$M31,TableAspect[year],"="&amp;DATE(INDEX(_xlfn.ANCHORARRAY($H$36),$D$5),1,1)))</f>
        <v>0</v>
      </c>
      <c r="O31" s="8" cm="1">
        <f t="array" ref="O31">IF($D$6&lt;&gt;1,SUMIFS(TableAspect[neutral],TableAspect[aspect],"="&amp;$M31,TableAspect[month],"="&amp;DATE(INDEX(_xlfn.ANCHORARRAY($H$36),$D$5),$D$6-1,1)),SUMIFS(TableAspect[neutral],TableAspect[aspect],"="&amp;$M31,TableAspect[year],"="&amp;DATE(INDEX(_xlfn.ANCHORARRAY($H$36),$D$5),1,1)))</f>
        <v>0</v>
      </c>
      <c r="P31" s="8" cm="1">
        <f t="array" ref="P31">IF($D$6&lt;&gt;1,SUMIFS(TableAspect[negative],TableAspect[aspect],"="&amp;$M31,TableAspect[month],"="&amp;DATE(INDEX(_xlfn.ANCHORARRAY($H$36),$D$5),$D$6-1,1)),SUMIFS(TableAspect[negative],TableAspect[aspect],"="&amp;$M31,TableAspect[year],"="&amp;DATE(INDEX(_xlfn.ANCHORARRAY($H$36),$D$5),1,1)))</f>
        <v>0</v>
      </c>
      <c r="Q31" cm="1">
        <f t="array" ref="Q31">IF($D$6&lt;&gt;1,SUMIFS(TableAspect[total],TableAspect[aspect],"="&amp;$M31,TableAspect[month],"="&amp;DATE(INDEX(_xlfn.ANCHORARRAY($H$36),$D$5),$D$6-1,1)),SUMIFS(TableAspect[total],TableAspect[aspect],"="&amp;$M31,TableAspect[year],"="&amp;DATE(INDEX(_xlfn.ANCHORARRAY($H$36),$D$5),1,1)))</f>
        <v>0</v>
      </c>
      <c r="R31">
        <f>IF(M31&lt;&gt;0,Q31+(COUNTIFS($Q$8:Q31,Q31) - 1) * 0.000000001,"")</f>
        <v>2.3000000000000001E-8</v>
      </c>
      <c r="T31">
        <f t="shared" si="1"/>
        <v>2.7E-8</v>
      </c>
      <c r="U31" t="str">
        <f t="shared" si="2"/>
        <v>double</v>
      </c>
      <c r="V31">
        <f t="shared" si="3"/>
        <v>0</v>
      </c>
      <c r="W31">
        <f t="shared" si="4"/>
        <v>0</v>
      </c>
      <c r="X31">
        <f t="shared" si="5"/>
        <v>0</v>
      </c>
      <c r="Y31">
        <f t="shared" si="6"/>
        <v>0</v>
      </c>
    </row>
    <row r="32" spans="2:64" x14ac:dyDescent="0.3">
      <c r="G32">
        <v>10</v>
      </c>
      <c r="H32" s="44" t="s">
        <v>363</v>
      </c>
      <c r="J32" s="7"/>
      <c r="L32" s="7"/>
      <c r="M32" s="44" t="str">
        <v>ice cream</v>
      </c>
      <c r="N32" s="8" cm="1">
        <f t="array" ref="N32">IF($D$6&lt;&gt;1,SUMIFS(TableAspect[positive],TableAspect[aspect],"="&amp;$M32,TableAspect[month],"="&amp;DATE(INDEX(_xlfn.ANCHORARRAY($H$36),$D$5),$D$6-1,1)),SUMIFS(TableAspect[positive],TableAspect[aspect],"="&amp;$M32,TableAspect[year],"="&amp;DATE(INDEX(_xlfn.ANCHORARRAY($H$36),$D$5),1,1)))</f>
        <v>0</v>
      </c>
      <c r="O32" s="8" cm="1">
        <f t="array" ref="O32">IF($D$6&lt;&gt;1,SUMIFS(TableAspect[neutral],TableAspect[aspect],"="&amp;$M32,TableAspect[month],"="&amp;DATE(INDEX(_xlfn.ANCHORARRAY($H$36),$D$5),$D$6-1,1)),SUMIFS(TableAspect[neutral],TableAspect[aspect],"="&amp;$M32,TableAspect[year],"="&amp;DATE(INDEX(_xlfn.ANCHORARRAY($H$36),$D$5),1,1)))</f>
        <v>0</v>
      </c>
      <c r="P32" s="8" cm="1">
        <f t="array" ref="P32">IF($D$6&lt;&gt;1,SUMIFS(TableAspect[negative],TableAspect[aspect],"="&amp;$M32,TableAspect[month],"="&amp;DATE(INDEX(_xlfn.ANCHORARRAY($H$36),$D$5),$D$6-1,1)),SUMIFS(TableAspect[negative],TableAspect[aspect],"="&amp;$M32,TableAspect[year],"="&amp;DATE(INDEX(_xlfn.ANCHORARRAY($H$36),$D$5),1,1)))</f>
        <v>1</v>
      </c>
      <c r="Q32" cm="1">
        <f t="array" ref="Q32">IF($D$6&lt;&gt;1,SUMIFS(TableAspect[total],TableAspect[aspect],"="&amp;$M32,TableAspect[month],"="&amp;DATE(INDEX(_xlfn.ANCHORARRAY($H$36),$D$5),$D$6-1,1)),SUMIFS(TableAspect[total],TableAspect[aspect],"="&amp;$M32,TableAspect[year],"="&amp;DATE(INDEX(_xlfn.ANCHORARRAY($H$36),$D$5),1,1)))</f>
        <v>1</v>
      </c>
      <c r="R32">
        <f>IF(M32&lt;&gt;0,Q32+(COUNTIFS($Q$8:Q32,Q32) - 1) * 0.000000001,"")</f>
        <v>1</v>
      </c>
      <c r="T32">
        <f t="shared" si="1"/>
        <v>2.6000000000000001E-8</v>
      </c>
      <c r="U32" t="str">
        <f t="shared" si="2"/>
        <v>quarter</v>
      </c>
      <c r="V32">
        <f t="shared" si="3"/>
        <v>0</v>
      </c>
      <c r="W32">
        <f t="shared" si="4"/>
        <v>0</v>
      </c>
      <c r="X32">
        <f t="shared" si="5"/>
        <v>0</v>
      </c>
      <c r="Y32">
        <f t="shared" si="6"/>
        <v>0</v>
      </c>
    </row>
    <row r="33" spans="7:25" x14ac:dyDescent="0.3">
      <c r="G33">
        <v>11</v>
      </c>
      <c r="H33" s="44" t="s">
        <v>362</v>
      </c>
      <c r="J33" s="7"/>
      <c r="L33" s="7"/>
      <c r="M33" s="44" t="str">
        <v>taste</v>
      </c>
      <c r="N33" s="8" cm="1">
        <f t="array" ref="N33">IF($D$6&lt;&gt;1,SUMIFS(TableAspect[positive],TableAspect[aspect],"="&amp;$M33,TableAspect[month],"="&amp;DATE(INDEX(_xlfn.ANCHORARRAY($H$36),$D$5),$D$6-1,1)),SUMIFS(TableAspect[positive],TableAspect[aspect],"="&amp;$M33,TableAspect[year],"="&amp;DATE(INDEX(_xlfn.ANCHORARRAY($H$36),$D$5),1,1)))</f>
        <v>0</v>
      </c>
      <c r="O33" s="8" cm="1">
        <f t="array" ref="O33">IF($D$6&lt;&gt;1,SUMIFS(TableAspect[neutral],TableAspect[aspect],"="&amp;$M33,TableAspect[month],"="&amp;DATE(INDEX(_xlfn.ANCHORARRAY($H$36),$D$5),$D$6-1,1)),SUMIFS(TableAspect[neutral],TableAspect[aspect],"="&amp;$M33,TableAspect[year],"="&amp;DATE(INDEX(_xlfn.ANCHORARRAY($H$36),$D$5),1,1)))</f>
        <v>0</v>
      </c>
      <c r="P33" s="8" cm="1">
        <f t="array" ref="P33">IF($D$6&lt;&gt;1,SUMIFS(TableAspect[negative],TableAspect[aspect],"="&amp;$M33,TableAspect[month],"="&amp;DATE(INDEX(_xlfn.ANCHORARRAY($H$36),$D$5),$D$6-1,1)),SUMIFS(TableAspect[negative],TableAspect[aspect],"="&amp;$M33,TableAspect[year],"="&amp;DATE(INDEX(_xlfn.ANCHORARRAY($H$36),$D$5),1,1)))</f>
        <v>0</v>
      </c>
      <c r="Q33" cm="1">
        <f t="array" ref="Q33">IF($D$6&lt;&gt;1,SUMIFS(TableAspect[total],TableAspect[aspect],"="&amp;$M33,TableAspect[month],"="&amp;DATE(INDEX(_xlfn.ANCHORARRAY($H$36),$D$5),$D$6-1,1)),SUMIFS(TableAspect[total],TableAspect[aspect],"="&amp;$M33,TableAspect[year],"="&amp;DATE(INDEX(_xlfn.ANCHORARRAY($H$36),$D$5),1,1)))</f>
        <v>0</v>
      </c>
      <c r="R33">
        <f>IF(M33&lt;&gt;0,Q33+(COUNTIFS($Q$8:Q33,Q33) - 1) * 0.000000001,"")</f>
        <v>2.4000000000000003E-8</v>
      </c>
      <c r="T33">
        <f t="shared" si="1"/>
        <v>2.5000000000000002E-8</v>
      </c>
      <c r="U33" t="str">
        <f t="shared" si="2"/>
        <v>pounder</v>
      </c>
      <c r="V33">
        <f t="shared" si="3"/>
        <v>0</v>
      </c>
      <c r="W33">
        <f t="shared" si="4"/>
        <v>0</v>
      </c>
      <c r="X33">
        <f t="shared" si="5"/>
        <v>0</v>
      </c>
      <c r="Y33">
        <f t="shared" si="6"/>
        <v>0</v>
      </c>
    </row>
    <row r="34" spans="7:25" x14ac:dyDescent="0.3">
      <c r="G34">
        <v>12</v>
      </c>
      <c r="H34" s="44" t="s">
        <v>364</v>
      </c>
      <c r="J34" s="7"/>
      <c r="L34" s="7"/>
      <c r="M34" s="44" t="str">
        <v>pounder</v>
      </c>
      <c r="N34" s="8" cm="1">
        <f t="array" ref="N34">IF($D$6&lt;&gt;1,SUMIFS(TableAspect[positive],TableAspect[aspect],"="&amp;$M34,TableAspect[month],"="&amp;DATE(INDEX(_xlfn.ANCHORARRAY($H$36),$D$5),$D$6-1,1)),SUMIFS(TableAspect[positive],TableAspect[aspect],"="&amp;$M34,TableAspect[year],"="&amp;DATE(INDEX(_xlfn.ANCHORARRAY($H$36),$D$5),1,1)))</f>
        <v>0</v>
      </c>
      <c r="O34" s="8" cm="1">
        <f t="array" ref="O34">IF($D$6&lt;&gt;1,SUMIFS(TableAspect[neutral],TableAspect[aspect],"="&amp;$M34,TableAspect[month],"="&amp;DATE(INDEX(_xlfn.ANCHORARRAY($H$36),$D$5),$D$6-1,1)),SUMIFS(TableAspect[neutral],TableAspect[aspect],"="&amp;$M34,TableAspect[year],"="&amp;DATE(INDEX(_xlfn.ANCHORARRAY($H$36),$D$5),1,1)))</f>
        <v>0</v>
      </c>
      <c r="P34" s="8" cm="1">
        <f t="array" ref="P34">IF($D$6&lt;&gt;1,SUMIFS(TableAspect[negative],TableAspect[aspect],"="&amp;$M34,TableAspect[month],"="&amp;DATE(INDEX(_xlfn.ANCHORARRAY($H$36),$D$5),$D$6-1,1)),SUMIFS(TableAspect[negative],TableAspect[aspect],"="&amp;$M34,TableAspect[year],"="&amp;DATE(INDEX(_xlfn.ANCHORARRAY($H$36),$D$5),1,1)))</f>
        <v>0</v>
      </c>
      <c r="Q34" cm="1">
        <f t="array" ref="Q34">IF($D$6&lt;&gt;1,SUMIFS(TableAspect[total],TableAspect[aspect],"="&amp;$M34,TableAspect[month],"="&amp;DATE(INDEX(_xlfn.ANCHORARRAY($H$36),$D$5),$D$6-1,1)),SUMIFS(TableAspect[total],TableAspect[aspect],"="&amp;$M34,TableAspect[year],"="&amp;DATE(INDEX(_xlfn.ANCHORARRAY($H$36),$D$5),1,1)))</f>
        <v>0</v>
      </c>
      <c r="R34">
        <f>IF(M34&lt;&gt;0,Q34+(COUNTIFS($Q$8:Q34,Q34) - 1) * 0.000000001,"")</f>
        <v>2.5000000000000002E-8</v>
      </c>
      <c r="T34">
        <f t="shared" si="1"/>
        <v>2.4000000000000003E-8</v>
      </c>
      <c r="U34" t="str">
        <f t="shared" si="2"/>
        <v>taste</v>
      </c>
      <c r="V34">
        <f t="shared" si="3"/>
        <v>0</v>
      </c>
      <c r="W34">
        <f t="shared" si="4"/>
        <v>0</v>
      </c>
      <c r="X34">
        <f t="shared" si="5"/>
        <v>0</v>
      </c>
      <c r="Y34">
        <f t="shared" si="6"/>
        <v>0</v>
      </c>
    </row>
    <row r="35" spans="7:25" x14ac:dyDescent="0.3">
      <c r="G35" s="5" t="s">
        <v>350</v>
      </c>
      <c r="H35" s="5" t="s">
        <v>265</v>
      </c>
      <c r="J35" s="7"/>
      <c r="L35" s="7"/>
      <c r="M35" s="44" t="str">
        <v>quarter</v>
      </c>
      <c r="N35" s="8" cm="1">
        <f t="array" ref="N35">IF($D$6&lt;&gt;1,SUMIFS(TableAspect[positive],TableAspect[aspect],"="&amp;$M35,TableAspect[month],"="&amp;DATE(INDEX(_xlfn.ANCHORARRAY($H$36),$D$5),$D$6-1,1)),SUMIFS(TableAspect[positive],TableAspect[aspect],"="&amp;$M35,TableAspect[year],"="&amp;DATE(INDEX(_xlfn.ANCHORARRAY($H$36),$D$5),1,1)))</f>
        <v>0</v>
      </c>
      <c r="O35" s="8" cm="1">
        <f t="array" ref="O35">IF($D$6&lt;&gt;1,SUMIFS(TableAspect[neutral],TableAspect[aspect],"="&amp;$M35,TableAspect[month],"="&amp;DATE(INDEX(_xlfn.ANCHORARRAY($H$36),$D$5),$D$6-1,1)),SUMIFS(TableAspect[neutral],TableAspect[aspect],"="&amp;$M35,TableAspect[year],"="&amp;DATE(INDEX(_xlfn.ANCHORARRAY($H$36),$D$5),1,1)))</f>
        <v>0</v>
      </c>
      <c r="P35" s="8" cm="1">
        <f t="array" ref="P35">IF($D$6&lt;&gt;1,SUMIFS(TableAspect[negative],TableAspect[aspect],"="&amp;$M35,TableAspect[month],"="&amp;DATE(INDEX(_xlfn.ANCHORARRAY($H$36),$D$5),$D$6-1,1)),SUMIFS(TableAspect[negative],TableAspect[aspect],"="&amp;$M35,TableAspect[year],"="&amp;DATE(INDEX(_xlfn.ANCHORARRAY($H$36),$D$5),1,1)))</f>
        <v>0</v>
      </c>
      <c r="Q35" cm="1">
        <f t="array" ref="Q35">IF($D$6&lt;&gt;1,SUMIFS(TableAspect[total],TableAspect[aspect],"="&amp;$M35,TableAspect[month],"="&amp;DATE(INDEX(_xlfn.ANCHORARRAY($H$36),$D$5),$D$6-1,1)),SUMIFS(TableAspect[total],TableAspect[aspect],"="&amp;$M35,TableAspect[year],"="&amp;DATE(INDEX(_xlfn.ANCHORARRAY($H$36),$D$5),1,1)))</f>
        <v>0</v>
      </c>
      <c r="R35">
        <f>IF(M35&lt;&gt;0,Q35+(COUNTIFS($Q$8:Q35,Q35) - 1) * 0.000000001,"")</f>
        <v>2.6000000000000001E-8</v>
      </c>
      <c r="T35">
        <f t="shared" si="1"/>
        <v>2.3000000000000001E-8</v>
      </c>
      <c r="U35" t="str">
        <f t="shared" si="2"/>
        <v>hash brownsies</v>
      </c>
      <c r="V35">
        <f t="shared" si="3"/>
        <v>0</v>
      </c>
      <c r="W35">
        <f t="shared" si="4"/>
        <v>0</v>
      </c>
      <c r="X35">
        <f t="shared" si="5"/>
        <v>0</v>
      </c>
      <c r="Y35">
        <f t="shared" si="6"/>
        <v>0</v>
      </c>
    </row>
    <row r="36" spans="7:25" x14ac:dyDescent="0.3">
      <c r="G36">
        <v>1</v>
      </c>
      <c r="H36" s="44" cm="1">
        <f t="array" ref="H36:H41">_xlfn.UNIQUE(YEAR(TableTrend[year]))</f>
        <v>2019</v>
      </c>
      <c r="J36" s="7"/>
      <c r="L36" s="7"/>
      <c r="M36" s="44" t="str">
        <v>double</v>
      </c>
      <c r="N36" s="8" cm="1">
        <f t="array" ref="N36">IF($D$6&lt;&gt;1,SUMIFS(TableAspect[positive],TableAspect[aspect],"="&amp;$M36,TableAspect[month],"="&amp;DATE(INDEX(_xlfn.ANCHORARRAY($H$36),$D$5),$D$6-1,1)),SUMIFS(TableAspect[positive],TableAspect[aspect],"="&amp;$M36,TableAspect[year],"="&amp;DATE(INDEX(_xlfn.ANCHORARRAY($H$36),$D$5),1,1)))</f>
        <v>0</v>
      </c>
      <c r="O36" s="8" cm="1">
        <f t="array" ref="O36">IF($D$6&lt;&gt;1,SUMIFS(TableAspect[neutral],TableAspect[aspect],"="&amp;$M36,TableAspect[month],"="&amp;DATE(INDEX(_xlfn.ANCHORARRAY($H$36),$D$5),$D$6-1,1)),SUMIFS(TableAspect[neutral],TableAspect[aspect],"="&amp;$M36,TableAspect[year],"="&amp;DATE(INDEX(_xlfn.ANCHORARRAY($H$36),$D$5),1,1)))</f>
        <v>0</v>
      </c>
      <c r="P36" s="8" cm="1">
        <f t="array" ref="P36">IF($D$6&lt;&gt;1,SUMIFS(TableAspect[negative],TableAspect[aspect],"="&amp;$M36,TableAspect[month],"="&amp;DATE(INDEX(_xlfn.ANCHORARRAY($H$36),$D$5),$D$6-1,1)),SUMIFS(TableAspect[negative],TableAspect[aspect],"="&amp;$M36,TableAspect[year],"="&amp;DATE(INDEX(_xlfn.ANCHORARRAY($H$36),$D$5),1,1)))</f>
        <v>0</v>
      </c>
      <c r="Q36" cm="1">
        <f t="array" ref="Q36">IF($D$6&lt;&gt;1,SUMIFS(TableAspect[total],TableAspect[aspect],"="&amp;$M36,TableAspect[month],"="&amp;DATE(INDEX(_xlfn.ANCHORARRAY($H$36),$D$5),$D$6-1,1)),SUMIFS(TableAspect[total],TableAspect[aspect],"="&amp;$M36,TableAspect[year],"="&amp;DATE(INDEX(_xlfn.ANCHORARRAY($H$36),$D$5),1,1)))</f>
        <v>0</v>
      </c>
      <c r="R36">
        <f>IF(M36&lt;&gt;0,Q36+(COUNTIFS($Q$8:Q36,Q36) - 1) * 0.000000001,"")</f>
        <v>2.7E-8</v>
      </c>
      <c r="T36">
        <f t="shared" si="1"/>
        <v>2.2000000000000002E-8</v>
      </c>
      <c r="U36" t="str">
        <f t="shared" si="2"/>
        <v>smoothie</v>
      </c>
      <c r="V36">
        <f t="shared" si="3"/>
        <v>0</v>
      </c>
      <c r="W36">
        <f t="shared" si="4"/>
        <v>0</v>
      </c>
      <c r="X36">
        <f t="shared" si="5"/>
        <v>0</v>
      </c>
      <c r="Y36">
        <f t="shared" si="6"/>
        <v>0</v>
      </c>
    </row>
    <row r="37" spans="7:25" x14ac:dyDescent="0.3">
      <c r="G37">
        <v>2</v>
      </c>
      <c r="H37" s="44">
        <v>2020</v>
      </c>
      <c r="J37" s="7"/>
      <c r="L37" s="7"/>
      <c r="M37" s="44" t="str">
        <v>sausage biscuit</v>
      </c>
      <c r="N37" s="8" cm="1">
        <f t="array" ref="N37">IF($D$6&lt;&gt;1,SUMIFS(TableAspect[positive],TableAspect[aspect],"="&amp;$M37,TableAspect[month],"="&amp;DATE(INDEX(_xlfn.ANCHORARRAY($H$36),$D$5),$D$6-1,1)),SUMIFS(TableAspect[positive],TableAspect[aspect],"="&amp;$M37,TableAspect[year],"="&amp;DATE(INDEX(_xlfn.ANCHORARRAY($H$36),$D$5),1,1)))</f>
        <v>0</v>
      </c>
      <c r="O37" s="8" cm="1">
        <f t="array" ref="O37">IF($D$6&lt;&gt;1,SUMIFS(TableAspect[neutral],TableAspect[aspect],"="&amp;$M37,TableAspect[month],"="&amp;DATE(INDEX(_xlfn.ANCHORARRAY($H$36),$D$5),$D$6-1,1)),SUMIFS(TableAspect[neutral],TableAspect[aspect],"="&amp;$M37,TableAspect[year],"="&amp;DATE(INDEX(_xlfn.ANCHORARRAY($H$36),$D$5),1,1)))</f>
        <v>0</v>
      </c>
      <c r="P37" s="8" cm="1">
        <f t="array" ref="P37">IF($D$6&lt;&gt;1,SUMIFS(TableAspect[negative],TableAspect[aspect],"="&amp;$M37,TableAspect[month],"="&amp;DATE(INDEX(_xlfn.ANCHORARRAY($H$36),$D$5),$D$6-1,1)),SUMIFS(TableAspect[negative],TableAspect[aspect],"="&amp;$M37,TableAspect[year],"="&amp;DATE(INDEX(_xlfn.ANCHORARRAY($H$36),$D$5),1,1)))</f>
        <v>0</v>
      </c>
      <c r="Q37" cm="1">
        <f t="array" ref="Q37">IF($D$6&lt;&gt;1,SUMIFS(TableAspect[total],TableAspect[aspect],"="&amp;$M37,TableAspect[month],"="&amp;DATE(INDEX(_xlfn.ANCHORARRAY($H$36),$D$5),$D$6-1,1)),SUMIFS(TableAspect[total],TableAspect[aspect],"="&amp;$M37,TableAspect[year],"="&amp;DATE(INDEX(_xlfn.ANCHORARRAY($H$36),$D$5),1,1)))</f>
        <v>0</v>
      </c>
      <c r="R37">
        <f>IF(M37&lt;&gt;0,Q37+(COUNTIFS($Q$8:Q37,Q37) - 1) * 0.000000001,"")</f>
        <v>2.8000000000000003E-8</v>
      </c>
      <c r="T37">
        <f t="shared" si="1"/>
        <v>2.1000000000000003E-8</v>
      </c>
      <c r="U37" t="str">
        <f t="shared" si="2"/>
        <v>strawberry banana smoothies</v>
      </c>
      <c r="V37">
        <f t="shared" si="3"/>
        <v>0</v>
      </c>
      <c r="W37">
        <f t="shared" si="4"/>
        <v>0</v>
      </c>
      <c r="X37">
        <f t="shared" si="5"/>
        <v>0</v>
      </c>
      <c r="Y37">
        <f t="shared" si="6"/>
        <v>0</v>
      </c>
    </row>
    <row r="38" spans="7:25" x14ac:dyDescent="0.3">
      <c r="G38">
        <v>3</v>
      </c>
      <c r="H38" s="44">
        <v>2021</v>
      </c>
      <c r="J38" s="7"/>
      <c r="L38" s="7"/>
      <c r="M38" s="44" t="str">
        <v>caramel mocha</v>
      </c>
      <c r="N38" s="8" cm="1">
        <f t="array" ref="N38">IF($D$6&lt;&gt;1,SUMIFS(TableAspect[positive],TableAspect[aspect],"="&amp;$M38,TableAspect[month],"="&amp;DATE(INDEX(_xlfn.ANCHORARRAY($H$36),$D$5),$D$6-1,1)),SUMIFS(TableAspect[positive],TableAspect[aspect],"="&amp;$M38,TableAspect[year],"="&amp;DATE(INDEX(_xlfn.ANCHORARRAY($H$36),$D$5),1,1)))</f>
        <v>0</v>
      </c>
      <c r="O38" s="8" cm="1">
        <f t="array" ref="O38">IF($D$6&lt;&gt;1,SUMIFS(TableAspect[neutral],TableAspect[aspect],"="&amp;$M38,TableAspect[month],"="&amp;DATE(INDEX(_xlfn.ANCHORARRAY($H$36),$D$5),$D$6-1,1)),SUMIFS(TableAspect[neutral],TableAspect[aspect],"="&amp;$M38,TableAspect[year],"="&amp;DATE(INDEX(_xlfn.ANCHORARRAY($H$36),$D$5),1,1)))</f>
        <v>0</v>
      </c>
      <c r="P38" s="8" cm="1">
        <f t="array" ref="P38">IF($D$6&lt;&gt;1,SUMIFS(TableAspect[negative],TableAspect[aspect],"="&amp;$M38,TableAspect[month],"="&amp;DATE(INDEX(_xlfn.ANCHORARRAY($H$36),$D$5),$D$6-1,1)),SUMIFS(TableAspect[negative],TableAspect[aspect],"="&amp;$M38,TableAspect[year],"="&amp;DATE(INDEX(_xlfn.ANCHORARRAY($H$36),$D$5),1,1)))</f>
        <v>0</v>
      </c>
      <c r="Q38" cm="1">
        <f t="array" ref="Q38">IF($D$6&lt;&gt;1,SUMIFS(TableAspect[total],TableAspect[aspect],"="&amp;$M38,TableAspect[month],"="&amp;DATE(INDEX(_xlfn.ANCHORARRAY($H$36),$D$5),$D$6-1,1)),SUMIFS(TableAspect[total],TableAspect[aspect],"="&amp;$M38,TableAspect[year],"="&amp;DATE(INDEX(_xlfn.ANCHORARRAY($H$36),$D$5),1,1)))</f>
        <v>0</v>
      </c>
      <c r="R38">
        <f>IF(M38&lt;&gt;0,Q38+(COUNTIFS($Q$8:Q38,Q38) - 1) * 0.000000001,"")</f>
        <v>2.9000000000000002E-8</v>
      </c>
      <c r="T38">
        <f t="shared" si="1"/>
        <v>2E-8</v>
      </c>
      <c r="U38" t="str">
        <f t="shared" si="2"/>
        <v>water</v>
      </c>
      <c r="V38">
        <f t="shared" si="3"/>
        <v>0</v>
      </c>
      <c r="W38">
        <f t="shared" si="4"/>
        <v>0</v>
      </c>
      <c r="X38">
        <f t="shared" si="5"/>
        <v>0</v>
      </c>
      <c r="Y38">
        <f t="shared" si="6"/>
        <v>0</v>
      </c>
    </row>
    <row r="39" spans="7:25" x14ac:dyDescent="0.3">
      <c r="G39">
        <v>4</v>
      </c>
      <c r="H39" s="44">
        <v>2022</v>
      </c>
      <c r="J39" s="7"/>
      <c r="L39" s="7"/>
      <c r="M39" s="44" t="str">
        <v>spicy chicken sandwich</v>
      </c>
      <c r="N39" s="8" cm="1">
        <f t="array" ref="N39">IF($D$6&lt;&gt;1,SUMIFS(TableAspect[positive],TableAspect[aspect],"="&amp;$M39,TableAspect[month],"="&amp;DATE(INDEX(_xlfn.ANCHORARRAY($H$36),$D$5),$D$6-1,1)),SUMIFS(TableAspect[positive],TableAspect[aspect],"="&amp;$M39,TableAspect[year],"="&amp;DATE(INDEX(_xlfn.ANCHORARRAY($H$36),$D$5),1,1)))</f>
        <v>0</v>
      </c>
      <c r="O39" s="8" cm="1">
        <f t="array" ref="O39">IF($D$6&lt;&gt;1,SUMIFS(TableAspect[neutral],TableAspect[aspect],"="&amp;$M39,TableAspect[month],"="&amp;DATE(INDEX(_xlfn.ANCHORARRAY($H$36),$D$5),$D$6-1,1)),SUMIFS(TableAspect[neutral],TableAspect[aspect],"="&amp;$M39,TableAspect[year],"="&amp;DATE(INDEX(_xlfn.ANCHORARRAY($H$36),$D$5),1,1)))</f>
        <v>0</v>
      </c>
      <c r="P39" s="8" cm="1">
        <f t="array" ref="P39">IF($D$6&lt;&gt;1,SUMIFS(TableAspect[negative],TableAspect[aspect],"="&amp;$M39,TableAspect[month],"="&amp;DATE(INDEX(_xlfn.ANCHORARRAY($H$36),$D$5),$D$6-1,1)),SUMIFS(TableAspect[negative],TableAspect[aspect],"="&amp;$M39,TableAspect[year],"="&amp;DATE(INDEX(_xlfn.ANCHORARRAY($H$36),$D$5),1,1)))</f>
        <v>0</v>
      </c>
      <c r="Q39" cm="1">
        <f t="array" ref="Q39">IF($D$6&lt;&gt;1,SUMIFS(TableAspect[total],TableAspect[aspect],"="&amp;$M39,TableAspect[month],"="&amp;DATE(INDEX(_xlfn.ANCHORARRAY($H$36),$D$5),$D$6-1,1)),SUMIFS(TableAspect[total],TableAspect[aspect],"="&amp;$M39,TableAspect[year],"="&amp;DATE(INDEX(_xlfn.ANCHORARRAY($H$36),$D$5),1,1)))</f>
        <v>0</v>
      </c>
      <c r="R39">
        <f>IF(M39&lt;&gt;0,Q39+(COUNTIFS($Q$8:Q39,Q39) - 1) * 0.000000001,"")</f>
        <v>3.0000000000000004E-8</v>
      </c>
      <c r="T39">
        <f t="shared" si="1"/>
        <v>1.9000000000000001E-8</v>
      </c>
      <c r="U39" t="str">
        <f t="shared" si="2"/>
        <v>drink</v>
      </c>
      <c r="V39">
        <f t="shared" si="3"/>
        <v>0</v>
      </c>
      <c r="W39">
        <f t="shared" si="4"/>
        <v>0</v>
      </c>
      <c r="X39">
        <f t="shared" si="5"/>
        <v>0</v>
      </c>
      <c r="Y39">
        <f t="shared" si="6"/>
        <v>0</v>
      </c>
    </row>
    <row r="40" spans="7:25" x14ac:dyDescent="0.3">
      <c r="G40">
        <v>5</v>
      </c>
      <c r="H40" s="44">
        <v>2023</v>
      </c>
      <c r="J40" s="7"/>
      <c r="L40" s="7"/>
      <c r="M40" s="44" t="str">
        <v>chicken sandwiches</v>
      </c>
      <c r="N40" s="8" cm="1">
        <f t="array" ref="N40">IF($D$6&lt;&gt;1,SUMIFS(TableAspect[positive],TableAspect[aspect],"="&amp;$M40,TableAspect[month],"="&amp;DATE(INDEX(_xlfn.ANCHORARRAY($H$36),$D$5),$D$6-1,1)),SUMIFS(TableAspect[positive],TableAspect[aspect],"="&amp;$M40,TableAspect[year],"="&amp;DATE(INDEX(_xlfn.ANCHORARRAY($H$36),$D$5),1,1)))</f>
        <v>0</v>
      </c>
      <c r="O40" s="8" cm="1">
        <f t="array" ref="O40">IF($D$6&lt;&gt;1,SUMIFS(TableAspect[neutral],TableAspect[aspect],"="&amp;$M40,TableAspect[month],"="&amp;DATE(INDEX(_xlfn.ANCHORARRAY($H$36),$D$5),$D$6-1,1)),SUMIFS(TableAspect[neutral],TableAspect[aspect],"="&amp;$M40,TableAspect[year],"="&amp;DATE(INDEX(_xlfn.ANCHORARRAY($H$36),$D$5),1,1)))</f>
        <v>0</v>
      </c>
      <c r="P40" s="8" cm="1">
        <f t="array" ref="P40">IF($D$6&lt;&gt;1,SUMIFS(TableAspect[negative],TableAspect[aspect],"="&amp;$M40,TableAspect[month],"="&amp;DATE(INDEX(_xlfn.ANCHORARRAY($H$36),$D$5),$D$6-1,1)),SUMIFS(TableAspect[negative],TableAspect[aspect],"="&amp;$M40,TableAspect[year],"="&amp;DATE(INDEX(_xlfn.ANCHORARRAY($H$36),$D$5),1,1)))</f>
        <v>0</v>
      </c>
      <c r="Q40" cm="1">
        <f t="array" ref="Q40">IF($D$6&lt;&gt;1,SUMIFS(TableAspect[total],TableAspect[aspect],"="&amp;$M40,TableAspect[month],"="&amp;DATE(INDEX(_xlfn.ANCHORARRAY($H$36),$D$5),$D$6-1,1)),SUMIFS(TableAspect[total],TableAspect[aspect],"="&amp;$M40,TableAspect[year],"="&amp;DATE(INDEX(_xlfn.ANCHORARRAY($H$36),$D$5),1,1)))</f>
        <v>0</v>
      </c>
      <c r="R40">
        <f>IF(M40&lt;&gt;0,Q40+(COUNTIFS($Q$8:Q40,Q40) - 1) * 0.000000001,"")</f>
        <v>3.1E-8</v>
      </c>
      <c r="T40">
        <f t="shared" si="1"/>
        <v>1.8000000000000002E-8</v>
      </c>
      <c r="U40" t="str">
        <f t="shared" si="2"/>
        <v>bag of food</v>
      </c>
      <c r="V40">
        <f t="shared" si="3"/>
        <v>0</v>
      </c>
      <c r="W40">
        <f t="shared" si="4"/>
        <v>0</v>
      </c>
      <c r="X40">
        <f t="shared" si="5"/>
        <v>0</v>
      </c>
      <c r="Y40">
        <f t="shared" si="6"/>
        <v>0</v>
      </c>
    </row>
    <row r="41" spans="7:25" x14ac:dyDescent="0.3">
      <c r="G41">
        <v>6</v>
      </c>
      <c r="H41" s="44">
        <v>2024</v>
      </c>
      <c r="J41" s="7"/>
      <c r="L41" s="7"/>
      <c r="M41" s="44" t="str">
        <v>fry</v>
      </c>
      <c r="N41" s="8" cm="1">
        <f t="array" ref="N41">IF($D$6&lt;&gt;1,SUMIFS(TableAspect[positive],TableAspect[aspect],"="&amp;$M41,TableAspect[month],"="&amp;DATE(INDEX(_xlfn.ANCHORARRAY($H$36),$D$5),$D$6-1,1)),SUMIFS(TableAspect[positive],TableAspect[aspect],"="&amp;$M41,TableAspect[year],"="&amp;DATE(INDEX(_xlfn.ANCHORARRAY($H$36),$D$5),1,1)))</f>
        <v>0</v>
      </c>
      <c r="O41" s="8" cm="1">
        <f t="array" ref="O41">IF($D$6&lt;&gt;1,SUMIFS(TableAspect[neutral],TableAspect[aspect],"="&amp;$M41,TableAspect[month],"="&amp;DATE(INDEX(_xlfn.ANCHORARRAY($H$36),$D$5),$D$6-1,1)),SUMIFS(TableAspect[neutral],TableAspect[aspect],"="&amp;$M41,TableAspect[year],"="&amp;DATE(INDEX(_xlfn.ANCHORARRAY($H$36),$D$5),1,1)))</f>
        <v>0</v>
      </c>
      <c r="P41" s="8" cm="1">
        <f t="array" ref="P41">IF($D$6&lt;&gt;1,SUMIFS(TableAspect[negative],TableAspect[aspect],"="&amp;$M41,TableAspect[month],"="&amp;DATE(INDEX(_xlfn.ANCHORARRAY($H$36),$D$5),$D$6-1,1)),SUMIFS(TableAspect[negative],TableAspect[aspect],"="&amp;$M41,TableAspect[year],"="&amp;DATE(INDEX(_xlfn.ANCHORARRAY($H$36),$D$5),1,1)))</f>
        <v>0</v>
      </c>
      <c r="Q41" cm="1">
        <f t="array" ref="Q41">IF($D$6&lt;&gt;1,SUMIFS(TableAspect[total],TableAspect[aspect],"="&amp;$M41,TableAspect[month],"="&amp;DATE(INDEX(_xlfn.ANCHORARRAY($H$36),$D$5),$D$6-1,1)),SUMIFS(TableAspect[total],TableAspect[aspect],"="&amp;$M41,TableAspect[year],"="&amp;DATE(INDEX(_xlfn.ANCHORARRAY($H$36),$D$5),1,1)))</f>
        <v>0</v>
      </c>
      <c r="R41">
        <f>IF(M41&lt;&gt;0,Q41+(COUNTIFS($Q$8:Q41,Q41) - 1) * 0.000000001,"")</f>
        <v>3.2000000000000002E-8</v>
      </c>
      <c r="T41">
        <f t="shared" si="1"/>
        <v>1.7E-8</v>
      </c>
      <c r="U41" t="str">
        <f t="shared" si="2"/>
        <v>apples strawberries</v>
      </c>
      <c r="V41">
        <f t="shared" si="3"/>
        <v>0</v>
      </c>
      <c r="W41">
        <f t="shared" si="4"/>
        <v>0</v>
      </c>
      <c r="X41">
        <f t="shared" si="5"/>
        <v>0</v>
      </c>
      <c r="Y41">
        <f t="shared" si="6"/>
        <v>0</v>
      </c>
    </row>
    <row r="42" spans="7:25" x14ac:dyDescent="0.3">
      <c r="J42" s="7"/>
      <c r="L42" s="7"/>
      <c r="M42" s="44" t="str">
        <v>large</v>
      </c>
      <c r="N42" s="8" cm="1">
        <f t="array" ref="N42">IF($D$6&lt;&gt;1,SUMIFS(TableAspect[positive],TableAspect[aspect],"="&amp;$M42,TableAspect[month],"="&amp;DATE(INDEX(_xlfn.ANCHORARRAY($H$36),$D$5),$D$6-1,1)),SUMIFS(TableAspect[positive],TableAspect[aspect],"="&amp;$M42,TableAspect[year],"="&amp;DATE(INDEX(_xlfn.ANCHORARRAY($H$36),$D$5),1,1)))</f>
        <v>0</v>
      </c>
      <c r="O42" s="8" cm="1">
        <f t="array" ref="O42">IF($D$6&lt;&gt;1,SUMIFS(TableAspect[neutral],TableAspect[aspect],"="&amp;$M42,TableAspect[month],"="&amp;DATE(INDEX(_xlfn.ANCHORARRAY($H$36),$D$5),$D$6-1,1)),SUMIFS(TableAspect[neutral],TableAspect[aspect],"="&amp;$M42,TableAspect[year],"="&amp;DATE(INDEX(_xlfn.ANCHORARRAY($H$36),$D$5),1,1)))</f>
        <v>0</v>
      </c>
      <c r="P42" s="8" cm="1">
        <f t="array" ref="P42">IF($D$6&lt;&gt;1,SUMIFS(TableAspect[negative],TableAspect[aspect],"="&amp;$M42,TableAspect[month],"="&amp;DATE(INDEX(_xlfn.ANCHORARRAY($H$36),$D$5),$D$6-1,1)),SUMIFS(TableAspect[negative],TableAspect[aspect],"="&amp;$M42,TableAspect[year],"="&amp;DATE(INDEX(_xlfn.ANCHORARRAY($H$36),$D$5),1,1)))</f>
        <v>0</v>
      </c>
      <c r="Q42" cm="1">
        <f t="array" ref="Q42">IF($D$6&lt;&gt;1,SUMIFS(TableAspect[total],TableAspect[aspect],"="&amp;$M42,TableAspect[month],"="&amp;DATE(INDEX(_xlfn.ANCHORARRAY($H$36),$D$5),$D$6-1,1)),SUMIFS(TableAspect[total],TableAspect[aspect],"="&amp;$M42,TableAspect[year],"="&amp;DATE(INDEX(_xlfn.ANCHORARRAY($H$36),$D$5),1,1)))</f>
        <v>0</v>
      </c>
      <c r="R42">
        <f>IF(M42&lt;&gt;0,Q42+(COUNTIFS($Q$8:Q42,Q42) - 1) * 0.000000001,"")</f>
        <v>3.3000000000000004E-8</v>
      </c>
      <c r="T42">
        <f t="shared" si="1"/>
        <v>1.6000000000000001E-8</v>
      </c>
      <c r="U42" t="str">
        <f t="shared" si="2"/>
        <v>chicken sandwich</v>
      </c>
      <c r="V42">
        <f t="shared" si="3"/>
        <v>0</v>
      </c>
      <c r="W42">
        <f t="shared" si="4"/>
        <v>0</v>
      </c>
      <c r="X42">
        <f t="shared" si="5"/>
        <v>0</v>
      </c>
      <c r="Y42">
        <f t="shared" si="6"/>
        <v>0</v>
      </c>
    </row>
    <row r="43" spans="7:25" x14ac:dyDescent="0.3">
      <c r="J43" s="7"/>
      <c r="L43" s="7"/>
      <c r="M43" s="44" t="str">
        <v>lettuce and tomato</v>
      </c>
      <c r="N43" s="8" cm="1">
        <f t="array" ref="N43">IF($D$6&lt;&gt;1,SUMIFS(TableAspect[positive],TableAspect[aspect],"="&amp;$M43,TableAspect[month],"="&amp;DATE(INDEX(_xlfn.ANCHORARRAY($H$36),$D$5),$D$6-1,1)),SUMIFS(TableAspect[positive],TableAspect[aspect],"="&amp;$M43,TableAspect[year],"="&amp;DATE(INDEX(_xlfn.ANCHORARRAY($H$36),$D$5),1,1)))</f>
        <v>0</v>
      </c>
      <c r="O43" s="8" cm="1">
        <f t="array" ref="O43">IF($D$6&lt;&gt;1,SUMIFS(TableAspect[neutral],TableAspect[aspect],"="&amp;$M43,TableAspect[month],"="&amp;DATE(INDEX(_xlfn.ANCHORARRAY($H$36),$D$5),$D$6-1,1)),SUMIFS(TableAspect[neutral],TableAspect[aspect],"="&amp;$M43,TableAspect[year],"="&amp;DATE(INDEX(_xlfn.ANCHORARRAY($H$36),$D$5),1,1)))</f>
        <v>0</v>
      </c>
      <c r="P43" s="8" cm="1">
        <f t="array" ref="P43">IF($D$6&lt;&gt;1,SUMIFS(TableAspect[negative],TableAspect[aspect],"="&amp;$M43,TableAspect[month],"="&amp;DATE(INDEX(_xlfn.ANCHORARRAY($H$36),$D$5),$D$6-1,1)),SUMIFS(TableAspect[negative],TableAspect[aspect],"="&amp;$M43,TableAspect[year],"="&amp;DATE(INDEX(_xlfn.ANCHORARRAY($H$36),$D$5),1,1)))</f>
        <v>0</v>
      </c>
      <c r="Q43" cm="1">
        <f t="array" ref="Q43">IF($D$6&lt;&gt;1,SUMIFS(TableAspect[total],TableAspect[aspect],"="&amp;$M43,TableAspect[month],"="&amp;DATE(INDEX(_xlfn.ANCHORARRAY($H$36),$D$5),$D$6-1,1)),SUMIFS(TableAspect[total],TableAspect[aspect],"="&amp;$M43,TableAspect[year],"="&amp;DATE(INDEX(_xlfn.ANCHORARRAY($H$36),$D$5),1,1)))</f>
        <v>0</v>
      </c>
      <c r="R43">
        <f>IF(M43&lt;&gt;0,Q43+(COUNTIFS($Q$8:Q43,Q43) - 1) * 0.000000001,"")</f>
        <v>3.4E-8</v>
      </c>
      <c r="T43">
        <f t="shared" si="1"/>
        <v>1.5000000000000002E-8</v>
      </c>
      <c r="U43" t="str">
        <f t="shared" si="2"/>
        <v>food burger</v>
      </c>
      <c r="V43">
        <f t="shared" si="3"/>
        <v>0</v>
      </c>
      <c r="W43">
        <f t="shared" si="4"/>
        <v>0</v>
      </c>
      <c r="X43">
        <f t="shared" si="5"/>
        <v>0</v>
      </c>
      <c r="Y43">
        <f t="shared" si="6"/>
        <v>0</v>
      </c>
    </row>
    <row r="44" spans="7:25" x14ac:dyDescent="0.3">
      <c r="J44" s="7"/>
      <c r="L44" s="7"/>
      <c r="M44" s="44" t="str">
        <v>menu</v>
      </c>
      <c r="N44" s="8" cm="1">
        <f t="array" ref="N44">IF($D$6&lt;&gt;1,SUMIFS(TableAspect[positive],TableAspect[aspect],"="&amp;$M44,TableAspect[month],"="&amp;DATE(INDEX(_xlfn.ANCHORARRAY($H$36),$D$5),$D$6-1,1)),SUMIFS(TableAspect[positive],TableAspect[aspect],"="&amp;$M44,TableAspect[year],"="&amp;DATE(INDEX(_xlfn.ANCHORARRAY($H$36),$D$5),1,1)))</f>
        <v>0</v>
      </c>
      <c r="O44" s="8" cm="1">
        <f t="array" ref="O44">IF($D$6&lt;&gt;1,SUMIFS(TableAspect[neutral],TableAspect[aspect],"="&amp;$M44,TableAspect[month],"="&amp;DATE(INDEX(_xlfn.ANCHORARRAY($H$36),$D$5),$D$6-1,1)),SUMIFS(TableAspect[neutral],TableAspect[aspect],"="&amp;$M44,TableAspect[year],"="&amp;DATE(INDEX(_xlfn.ANCHORARRAY($H$36),$D$5),1,1)))</f>
        <v>0</v>
      </c>
      <c r="P44" s="8" cm="1">
        <f t="array" ref="P44">IF($D$6&lt;&gt;1,SUMIFS(TableAspect[negative],TableAspect[aspect],"="&amp;$M44,TableAspect[month],"="&amp;DATE(INDEX(_xlfn.ANCHORARRAY($H$36),$D$5),$D$6-1,1)),SUMIFS(TableAspect[negative],TableAspect[aspect],"="&amp;$M44,TableAspect[year],"="&amp;DATE(INDEX(_xlfn.ANCHORARRAY($H$36),$D$5),1,1)))</f>
        <v>0</v>
      </c>
      <c r="Q44" cm="1">
        <f t="array" ref="Q44">IF($D$6&lt;&gt;1,SUMIFS(TableAspect[total],TableAspect[aspect],"="&amp;$M44,TableAspect[month],"="&amp;DATE(INDEX(_xlfn.ANCHORARRAY($H$36),$D$5),$D$6-1,1)),SUMIFS(TableAspect[total],TableAspect[aspect],"="&amp;$M44,TableAspect[year],"="&amp;DATE(INDEX(_xlfn.ANCHORARRAY($H$36),$D$5),1,1)))</f>
        <v>0</v>
      </c>
      <c r="R44">
        <f>IF(M44&lt;&gt;0,Q44+(COUNTIFS($Q$8:Q44,Q44) - 1) * 0.000000001,"")</f>
        <v>3.5000000000000002E-8</v>
      </c>
      <c r="T44">
        <f t="shared" si="1"/>
        <v>1.4000000000000001E-8</v>
      </c>
      <c r="U44" t="str">
        <f t="shared" si="2"/>
        <v>breakfast with hot cakes</v>
      </c>
      <c r="V44">
        <f t="shared" si="3"/>
        <v>0</v>
      </c>
      <c r="W44">
        <f t="shared" si="4"/>
        <v>0</v>
      </c>
      <c r="X44">
        <f t="shared" si="5"/>
        <v>0</v>
      </c>
      <c r="Y44">
        <f t="shared" si="6"/>
        <v>0</v>
      </c>
    </row>
    <row r="45" spans="7:25" x14ac:dyDescent="0.3">
      <c r="J45" s="7"/>
      <c r="L45" s="7"/>
      <c r="M45" s="44" t="str">
        <v>lunch</v>
      </c>
      <c r="N45" s="8" cm="1">
        <f t="array" ref="N45">IF($D$6&lt;&gt;1,SUMIFS(TableAspect[positive],TableAspect[aspect],"="&amp;$M45,TableAspect[month],"="&amp;DATE(INDEX(_xlfn.ANCHORARRAY($H$36),$D$5),$D$6-1,1)),SUMIFS(TableAspect[positive],TableAspect[aspect],"="&amp;$M45,TableAspect[year],"="&amp;DATE(INDEX(_xlfn.ANCHORARRAY($H$36),$D$5),1,1)))</f>
        <v>0</v>
      </c>
      <c r="O45" s="8" cm="1">
        <f t="array" ref="O45">IF($D$6&lt;&gt;1,SUMIFS(TableAspect[neutral],TableAspect[aspect],"="&amp;$M45,TableAspect[month],"="&amp;DATE(INDEX(_xlfn.ANCHORARRAY($H$36),$D$5),$D$6-1,1)),SUMIFS(TableAspect[neutral],TableAspect[aspect],"="&amp;$M45,TableAspect[year],"="&amp;DATE(INDEX(_xlfn.ANCHORARRAY($H$36),$D$5),1,1)))</f>
        <v>0</v>
      </c>
      <c r="P45" s="8" cm="1">
        <f t="array" ref="P45">IF($D$6&lt;&gt;1,SUMIFS(TableAspect[negative],TableAspect[aspect],"="&amp;$M45,TableAspect[month],"="&amp;DATE(INDEX(_xlfn.ANCHORARRAY($H$36),$D$5),$D$6-1,1)),SUMIFS(TableAspect[negative],TableAspect[aspect],"="&amp;$M45,TableAspect[year],"="&amp;DATE(INDEX(_xlfn.ANCHORARRAY($H$36),$D$5),1,1)))</f>
        <v>0</v>
      </c>
      <c r="Q45" cm="1">
        <f t="array" ref="Q45">IF($D$6&lt;&gt;1,SUMIFS(TableAspect[total],TableAspect[aspect],"="&amp;$M45,TableAspect[month],"="&amp;DATE(INDEX(_xlfn.ANCHORARRAY($H$36),$D$5),$D$6-1,1)),SUMIFS(TableAspect[total],TableAspect[aspect],"="&amp;$M45,TableAspect[year],"="&amp;DATE(INDEX(_xlfn.ANCHORARRAY($H$36),$D$5),1,1)))</f>
        <v>0</v>
      </c>
      <c r="R45">
        <f>IF(M45&lt;&gt;0,Q45+(COUNTIFS($Q$8:Q45,Q45) - 1) * 0.000000001,"")</f>
        <v>3.6000000000000005E-8</v>
      </c>
      <c r="T45">
        <f t="shared" si="1"/>
        <v>1.3000000000000001E-8</v>
      </c>
      <c r="U45" t="str">
        <f t="shared" si="2"/>
        <v>egg</v>
      </c>
      <c r="V45">
        <f t="shared" si="3"/>
        <v>0</v>
      </c>
      <c r="W45">
        <f t="shared" si="4"/>
        <v>0</v>
      </c>
      <c r="X45">
        <f t="shared" si="5"/>
        <v>0</v>
      </c>
      <c r="Y45">
        <f t="shared" si="6"/>
        <v>0</v>
      </c>
    </row>
    <row r="46" spans="7:25" x14ac:dyDescent="0.3">
      <c r="J46" s="7"/>
      <c r="L46" s="7"/>
      <c r="M46" s="44" t="str">
        <v>breakfast</v>
      </c>
      <c r="N46" s="8" cm="1">
        <f t="array" ref="N46">IF($D$6&lt;&gt;1,SUMIFS(TableAspect[positive],TableAspect[aspect],"="&amp;$M46,TableAspect[month],"="&amp;DATE(INDEX(_xlfn.ANCHORARRAY($H$36),$D$5),$D$6-1,1)),SUMIFS(TableAspect[positive],TableAspect[aspect],"="&amp;$M46,TableAspect[year],"="&amp;DATE(INDEX(_xlfn.ANCHORARRAY($H$36),$D$5),1,1)))</f>
        <v>0</v>
      </c>
      <c r="O46" s="8" cm="1">
        <f t="array" ref="O46">IF($D$6&lt;&gt;1,SUMIFS(TableAspect[neutral],TableAspect[aspect],"="&amp;$M46,TableAspect[month],"="&amp;DATE(INDEX(_xlfn.ANCHORARRAY($H$36),$D$5),$D$6-1,1)),SUMIFS(TableAspect[neutral],TableAspect[aspect],"="&amp;$M46,TableAspect[year],"="&amp;DATE(INDEX(_xlfn.ANCHORARRAY($H$36),$D$5),1,1)))</f>
        <v>0</v>
      </c>
      <c r="P46" s="8" cm="1">
        <f t="array" ref="P46">IF($D$6&lt;&gt;1,SUMIFS(TableAspect[negative],TableAspect[aspect],"="&amp;$M46,TableAspect[month],"="&amp;DATE(INDEX(_xlfn.ANCHORARRAY($H$36),$D$5),$D$6-1,1)),SUMIFS(TableAspect[negative],TableAspect[aspect],"="&amp;$M46,TableAspect[year],"="&amp;DATE(INDEX(_xlfn.ANCHORARRAY($H$36),$D$5),1,1)))</f>
        <v>0</v>
      </c>
      <c r="Q46" cm="1">
        <f t="array" ref="Q46">IF($D$6&lt;&gt;1,SUMIFS(TableAspect[total],TableAspect[aspect],"="&amp;$M46,TableAspect[month],"="&amp;DATE(INDEX(_xlfn.ANCHORARRAY($H$36),$D$5),$D$6-1,1)),SUMIFS(TableAspect[total],TableAspect[aspect],"="&amp;$M46,TableAspect[year],"="&amp;DATE(INDEX(_xlfn.ANCHORARRAY($H$36),$D$5),1,1)))</f>
        <v>0</v>
      </c>
      <c r="R46">
        <f>IF(M46&lt;&gt;0,Q46+(COUNTIFS($Q$8:Q46,Q46) - 1) * 0.000000001,"")</f>
        <v>3.7E-8</v>
      </c>
      <c r="T46">
        <f t="shared" si="1"/>
        <v>1.2000000000000002E-8</v>
      </c>
      <c r="U46" t="str">
        <f t="shared" si="2"/>
        <v>sausage</v>
      </c>
      <c r="V46">
        <f t="shared" si="3"/>
        <v>0</v>
      </c>
      <c r="W46">
        <f t="shared" si="4"/>
        <v>0</v>
      </c>
      <c r="X46">
        <f t="shared" si="5"/>
        <v>0</v>
      </c>
      <c r="Y46">
        <f t="shared" si="6"/>
        <v>0</v>
      </c>
    </row>
    <row r="47" spans="7:25" x14ac:dyDescent="0.3">
      <c r="J47" s="7"/>
      <c r="L47" s="7"/>
      <c r="M47" s="44" t="str">
        <v>nuggets</v>
      </c>
      <c r="N47" s="8" cm="1">
        <f t="array" ref="N47">IF($D$6&lt;&gt;1,SUMIFS(TableAspect[positive],TableAspect[aspect],"="&amp;$M47,TableAspect[month],"="&amp;DATE(INDEX(_xlfn.ANCHORARRAY($H$36),$D$5),$D$6-1,1)),SUMIFS(TableAspect[positive],TableAspect[aspect],"="&amp;$M47,TableAspect[year],"="&amp;DATE(INDEX(_xlfn.ANCHORARRAY($H$36),$D$5),1,1)))</f>
        <v>0</v>
      </c>
      <c r="O47" s="8" cm="1">
        <f t="array" ref="O47">IF($D$6&lt;&gt;1,SUMIFS(TableAspect[neutral],TableAspect[aspect],"="&amp;$M47,TableAspect[month],"="&amp;DATE(INDEX(_xlfn.ANCHORARRAY($H$36),$D$5),$D$6-1,1)),SUMIFS(TableAspect[neutral],TableAspect[aspect],"="&amp;$M47,TableAspect[year],"="&amp;DATE(INDEX(_xlfn.ANCHORARRAY($H$36),$D$5),1,1)))</f>
        <v>0</v>
      </c>
      <c r="P47" s="8" cm="1">
        <f t="array" ref="P47">IF($D$6&lt;&gt;1,SUMIFS(TableAspect[negative],TableAspect[aspect],"="&amp;$M47,TableAspect[month],"="&amp;DATE(INDEX(_xlfn.ANCHORARRAY($H$36),$D$5),$D$6-1,1)),SUMIFS(TableAspect[negative],TableAspect[aspect],"="&amp;$M47,TableAspect[year],"="&amp;DATE(INDEX(_xlfn.ANCHORARRAY($H$36),$D$5),1,1)))</f>
        <v>0</v>
      </c>
      <c r="Q47" cm="1">
        <f t="array" ref="Q47">IF($D$6&lt;&gt;1,SUMIFS(TableAspect[total],TableAspect[aspect],"="&amp;$M47,TableAspect[month],"="&amp;DATE(INDEX(_xlfn.ANCHORARRAY($H$36),$D$5),$D$6-1,1)),SUMIFS(TableAspect[total],TableAspect[aspect],"="&amp;$M47,TableAspect[year],"="&amp;DATE(INDEX(_xlfn.ANCHORARRAY($H$36),$D$5),1,1)))</f>
        <v>0</v>
      </c>
      <c r="R47">
        <f>IF(M47&lt;&gt;0,Q47+(COUNTIFS($Q$8:Q47,Q47) - 1) * 0.000000001,"")</f>
        <v>3.8000000000000003E-8</v>
      </c>
      <c r="T47">
        <f t="shared" si="1"/>
        <v>1.1000000000000001E-8</v>
      </c>
      <c r="U47" t="str">
        <f t="shared" si="2"/>
        <v>food items</v>
      </c>
      <c r="V47">
        <f t="shared" si="3"/>
        <v>0</v>
      </c>
      <c r="W47">
        <f t="shared" si="4"/>
        <v>0</v>
      </c>
      <c r="X47">
        <f t="shared" si="5"/>
        <v>0</v>
      </c>
      <c r="Y47">
        <f t="shared" si="6"/>
        <v>0</v>
      </c>
    </row>
    <row r="48" spans="7:25" x14ac:dyDescent="0.3">
      <c r="J48" s="7"/>
      <c r="L48" s="7"/>
      <c r="M48" s="44" t="str">
        <v>burgers</v>
      </c>
      <c r="N48" s="8" cm="1">
        <f t="array" ref="N48">IF($D$6&lt;&gt;1,SUMIFS(TableAspect[positive],TableAspect[aspect],"="&amp;$M48,TableAspect[month],"="&amp;DATE(INDEX(_xlfn.ANCHORARRAY($H$36),$D$5),$D$6-1,1)),SUMIFS(TableAspect[positive],TableAspect[aspect],"="&amp;$M48,TableAspect[year],"="&amp;DATE(INDEX(_xlfn.ANCHORARRAY($H$36),$D$5),1,1)))</f>
        <v>0</v>
      </c>
      <c r="O48" s="8" cm="1">
        <f t="array" ref="O48">IF($D$6&lt;&gt;1,SUMIFS(TableAspect[neutral],TableAspect[aspect],"="&amp;$M48,TableAspect[month],"="&amp;DATE(INDEX(_xlfn.ANCHORARRAY($H$36),$D$5),$D$6-1,1)),SUMIFS(TableAspect[neutral],TableAspect[aspect],"="&amp;$M48,TableAspect[year],"="&amp;DATE(INDEX(_xlfn.ANCHORARRAY($H$36),$D$5),1,1)))</f>
        <v>0</v>
      </c>
      <c r="P48" s="8" cm="1">
        <f t="array" ref="P48">IF($D$6&lt;&gt;1,SUMIFS(TableAspect[negative],TableAspect[aspect],"="&amp;$M48,TableAspect[month],"="&amp;DATE(INDEX(_xlfn.ANCHORARRAY($H$36),$D$5),$D$6-1,1)),SUMIFS(TableAspect[negative],TableAspect[aspect],"="&amp;$M48,TableAspect[year],"="&amp;DATE(INDEX(_xlfn.ANCHORARRAY($H$36),$D$5),1,1)))</f>
        <v>0</v>
      </c>
      <c r="Q48" cm="1">
        <f t="array" ref="Q48">IF($D$6&lt;&gt;1,SUMIFS(TableAspect[total],TableAspect[aspect],"="&amp;$M48,TableAspect[month],"="&amp;DATE(INDEX(_xlfn.ANCHORARRAY($H$36),$D$5),$D$6-1,1)),SUMIFS(TableAspect[total],TableAspect[aspect],"="&amp;$M48,TableAspect[year],"="&amp;DATE(INDEX(_xlfn.ANCHORARRAY($H$36),$D$5),1,1)))</f>
        <v>0</v>
      </c>
      <c r="R48">
        <f>IF(M48&lt;&gt;0,Q48+(COUNTIFS($Q$8:Q48,Q48) - 1) * 0.000000001,"")</f>
        <v>3.9000000000000005E-8</v>
      </c>
      <c r="T48">
        <f t="shared" si="1"/>
        <v>1E-8</v>
      </c>
      <c r="U48" t="str">
        <f t="shared" si="2"/>
        <v>chicken</v>
      </c>
      <c r="V48">
        <f t="shared" si="3"/>
        <v>0</v>
      </c>
      <c r="W48">
        <f t="shared" si="4"/>
        <v>0</v>
      </c>
      <c r="X48">
        <f t="shared" si="5"/>
        <v>0</v>
      </c>
      <c r="Y48">
        <f t="shared" si="6"/>
        <v>0</v>
      </c>
    </row>
    <row r="49" spans="10:25" x14ac:dyDescent="0.3">
      <c r="J49" s="7"/>
      <c r="L49" s="7"/>
      <c r="M49" s="44" t="str">
        <v>cheeseburgers</v>
      </c>
      <c r="N49" s="8" cm="1">
        <f t="array" ref="N49">IF($D$6&lt;&gt;1,SUMIFS(TableAspect[positive],TableAspect[aspect],"="&amp;$M49,TableAspect[month],"="&amp;DATE(INDEX(_xlfn.ANCHORARRAY($H$36),$D$5),$D$6-1,1)),SUMIFS(TableAspect[positive],TableAspect[aspect],"="&amp;$M49,TableAspect[year],"="&amp;DATE(INDEX(_xlfn.ANCHORARRAY($H$36),$D$5),1,1)))</f>
        <v>0</v>
      </c>
      <c r="O49" s="8" cm="1">
        <f t="array" ref="O49">IF($D$6&lt;&gt;1,SUMIFS(TableAspect[neutral],TableAspect[aspect],"="&amp;$M49,TableAspect[month],"="&amp;DATE(INDEX(_xlfn.ANCHORARRAY($H$36),$D$5),$D$6-1,1)),SUMIFS(TableAspect[neutral],TableAspect[aspect],"="&amp;$M49,TableAspect[year],"="&amp;DATE(INDEX(_xlfn.ANCHORARRAY($H$36),$D$5),1,1)))</f>
        <v>0</v>
      </c>
      <c r="P49" s="8" cm="1">
        <f t="array" ref="P49">IF($D$6&lt;&gt;1,SUMIFS(TableAspect[negative],TableAspect[aspect],"="&amp;$M49,TableAspect[month],"="&amp;DATE(INDEX(_xlfn.ANCHORARRAY($H$36),$D$5),$D$6-1,1)),SUMIFS(TableAspect[negative],TableAspect[aspect],"="&amp;$M49,TableAspect[year],"="&amp;DATE(INDEX(_xlfn.ANCHORARRAY($H$36),$D$5),1,1)))</f>
        <v>0</v>
      </c>
      <c r="Q49" cm="1">
        <f t="array" ref="Q49">IF($D$6&lt;&gt;1,SUMIFS(TableAspect[total],TableAspect[aspect],"="&amp;$M49,TableAspect[month],"="&amp;DATE(INDEX(_xlfn.ANCHORARRAY($H$36),$D$5),$D$6-1,1)),SUMIFS(TableAspect[total],TableAspect[aspect],"="&amp;$M49,TableAspect[year],"="&amp;DATE(INDEX(_xlfn.ANCHORARRAY($H$36),$D$5),1,1)))</f>
        <v>0</v>
      </c>
      <c r="R49">
        <f>IF(M49&lt;&gt;0,Q49+(COUNTIFS($Q$8:Q49,Q49) - 1) * 0.000000001,"")</f>
        <v>4.0000000000000001E-8</v>
      </c>
      <c r="T49">
        <f t="shared" si="1"/>
        <v>9.0000000000000012E-9</v>
      </c>
      <c r="U49" t="str">
        <f t="shared" si="2"/>
        <v>chicken mcnuggets</v>
      </c>
      <c r="V49">
        <f t="shared" si="3"/>
        <v>0</v>
      </c>
      <c r="W49">
        <f t="shared" si="4"/>
        <v>0</v>
      </c>
      <c r="X49">
        <f t="shared" si="5"/>
        <v>0</v>
      </c>
      <c r="Y49">
        <f t="shared" si="6"/>
        <v>0</v>
      </c>
    </row>
    <row r="50" spans="10:25" x14ac:dyDescent="0.3">
      <c r="J50" s="7"/>
      <c r="L50" s="7"/>
      <c r="M50" s="44" t="str">
        <v>frozen lemonade</v>
      </c>
      <c r="N50" s="8" cm="1">
        <f t="array" ref="N50">IF($D$6&lt;&gt;1,SUMIFS(TableAspect[positive],TableAspect[aspect],"="&amp;$M50,TableAspect[month],"="&amp;DATE(INDEX(_xlfn.ANCHORARRAY($H$36),$D$5),$D$6-1,1)),SUMIFS(TableAspect[positive],TableAspect[aspect],"="&amp;$M50,TableAspect[year],"="&amp;DATE(INDEX(_xlfn.ANCHORARRAY($H$36),$D$5),1,1)))</f>
        <v>0</v>
      </c>
      <c r="O50" s="8" cm="1">
        <f t="array" ref="O50">IF($D$6&lt;&gt;1,SUMIFS(TableAspect[neutral],TableAspect[aspect],"="&amp;$M50,TableAspect[month],"="&amp;DATE(INDEX(_xlfn.ANCHORARRAY($H$36),$D$5),$D$6-1,1)),SUMIFS(TableAspect[neutral],TableAspect[aspect],"="&amp;$M50,TableAspect[year],"="&amp;DATE(INDEX(_xlfn.ANCHORARRAY($H$36),$D$5),1,1)))</f>
        <v>0</v>
      </c>
      <c r="P50" s="8" cm="1">
        <f t="array" ref="P50">IF($D$6&lt;&gt;1,SUMIFS(TableAspect[negative],TableAspect[aspect],"="&amp;$M50,TableAspect[month],"="&amp;DATE(INDEX(_xlfn.ANCHORARRAY($H$36),$D$5),$D$6-1,1)),SUMIFS(TableAspect[negative],TableAspect[aspect],"="&amp;$M50,TableAspect[year],"="&amp;DATE(INDEX(_xlfn.ANCHORARRAY($H$36),$D$5),1,1)))</f>
        <v>0</v>
      </c>
      <c r="Q50" cm="1">
        <f t="array" ref="Q50">IF($D$6&lt;&gt;1,SUMIFS(TableAspect[total],TableAspect[aspect],"="&amp;$M50,TableAspect[month],"="&amp;DATE(INDEX(_xlfn.ANCHORARRAY($H$36),$D$5),$D$6-1,1)),SUMIFS(TableAspect[total],TableAspect[aspect],"="&amp;$M50,TableAspect[year],"="&amp;DATE(INDEX(_xlfn.ANCHORARRAY($H$36),$D$5),1,1)))</f>
        <v>0</v>
      </c>
      <c r="R50">
        <f>IF(M50&lt;&gt;0,Q50+(COUNTIFS($Q$8:Q50,Q50) - 1) * 0.000000001,"")</f>
        <v>4.1000000000000003E-8</v>
      </c>
      <c r="T50">
        <f t="shared" si="1"/>
        <v>8.0000000000000005E-9</v>
      </c>
      <c r="U50" t="str">
        <f t="shared" si="2"/>
        <v>hamburg</v>
      </c>
      <c r="V50">
        <f t="shared" si="3"/>
        <v>0</v>
      </c>
      <c r="W50">
        <f t="shared" si="4"/>
        <v>0</v>
      </c>
      <c r="X50">
        <f t="shared" si="5"/>
        <v>0</v>
      </c>
      <c r="Y50">
        <f t="shared" si="6"/>
        <v>0</v>
      </c>
    </row>
    <row r="51" spans="10:25" x14ac:dyDescent="0.3">
      <c r="J51" s="7"/>
      <c r="L51" s="7"/>
      <c r="M51" s="44" t="str">
        <v>burger</v>
      </c>
      <c r="N51" s="8" cm="1">
        <f t="array" ref="N51">IF($D$6&lt;&gt;1,SUMIFS(TableAspect[positive],TableAspect[aspect],"="&amp;$M51,TableAspect[month],"="&amp;DATE(INDEX(_xlfn.ANCHORARRAY($H$36),$D$5),$D$6-1,1)),SUMIFS(TableAspect[positive],TableAspect[aspect],"="&amp;$M51,TableAspect[year],"="&amp;DATE(INDEX(_xlfn.ANCHORARRAY($H$36),$D$5),1,1)))</f>
        <v>0</v>
      </c>
      <c r="O51" s="8" cm="1">
        <f t="array" ref="O51">IF($D$6&lt;&gt;1,SUMIFS(TableAspect[neutral],TableAspect[aspect],"="&amp;$M51,TableAspect[month],"="&amp;DATE(INDEX(_xlfn.ANCHORARRAY($H$36),$D$5),$D$6-1,1)),SUMIFS(TableAspect[neutral],TableAspect[aspect],"="&amp;$M51,TableAspect[year],"="&amp;DATE(INDEX(_xlfn.ANCHORARRAY($H$36),$D$5),1,1)))</f>
        <v>0</v>
      </c>
      <c r="P51" s="8" cm="1">
        <f t="array" ref="P51">IF($D$6&lt;&gt;1,SUMIFS(TableAspect[negative],TableAspect[aspect],"="&amp;$M51,TableAspect[month],"="&amp;DATE(INDEX(_xlfn.ANCHORARRAY($H$36),$D$5),$D$6-1,1)),SUMIFS(TableAspect[negative],TableAspect[aspect],"="&amp;$M51,TableAspect[year],"="&amp;DATE(INDEX(_xlfn.ANCHORARRAY($H$36),$D$5),1,1)))</f>
        <v>0</v>
      </c>
      <c r="Q51" cm="1">
        <f t="array" ref="Q51">IF($D$6&lt;&gt;1,SUMIFS(TableAspect[total],TableAspect[aspect],"="&amp;$M51,TableAspect[month],"="&amp;DATE(INDEX(_xlfn.ANCHORARRAY($H$36),$D$5),$D$6-1,1)),SUMIFS(TableAspect[total],TableAspect[aspect],"="&amp;$M51,TableAspect[year],"="&amp;DATE(INDEX(_xlfn.ANCHORARRAY($H$36),$D$5),1,1)))</f>
        <v>0</v>
      </c>
      <c r="R51">
        <f>IF(M51&lt;&gt;0,Q51+(COUNTIFS($Q$8:Q51,Q51) - 1) * 0.000000001,"")</f>
        <v>4.2000000000000006E-8</v>
      </c>
      <c r="T51">
        <f>IFERROR(LARGE($R$8:$R$1048505,ROW()-ROW($T$7)),"")</f>
        <v>7.0000000000000006E-9</v>
      </c>
      <c r="U51" t="str">
        <f t="shared" si="2"/>
        <v>cookies</v>
      </c>
      <c r="V51">
        <f t="shared" si="3"/>
        <v>0</v>
      </c>
      <c r="W51">
        <f t="shared" si="4"/>
        <v>0</v>
      </c>
      <c r="X51">
        <f t="shared" si="5"/>
        <v>0</v>
      </c>
      <c r="Y51">
        <f t="shared" si="6"/>
        <v>0</v>
      </c>
    </row>
    <row r="52" spans="10:25" x14ac:dyDescent="0.3">
      <c r="J52" s="7"/>
      <c r="M52" s="44" t="str">
        <v>meals</v>
      </c>
      <c r="N52" s="8" cm="1">
        <f t="array" ref="N52">IF($D$6&lt;&gt;1,SUMIFS(TableAspect[positive],TableAspect[aspect],"="&amp;$M52,TableAspect[month],"="&amp;DATE(INDEX(_xlfn.ANCHORARRAY($H$36),$D$5),$D$6-1,1)),SUMIFS(TableAspect[positive],TableAspect[aspect],"="&amp;$M52,TableAspect[year],"="&amp;DATE(INDEX(_xlfn.ANCHORARRAY($H$36),$D$5),1,1)))</f>
        <v>0</v>
      </c>
      <c r="O52" s="8" cm="1">
        <f t="array" ref="O52">IF($D$6&lt;&gt;1,SUMIFS(TableAspect[neutral],TableAspect[aspect],"="&amp;$M52,TableAspect[month],"="&amp;DATE(INDEX(_xlfn.ANCHORARRAY($H$36),$D$5),$D$6-1,1)),SUMIFS(TableAspect[neutral],TableAspect[aspect],"="&amp;$M52,TableAspect[year],"="&amp;DATE(INDEX(_xlfn.ANCHORARRAY($H$36),$D$5),1,1)))</f>
        <v>0</v>
      </c>
      <c r="P52" s="8" cm="1">
        <f t="array" ref="P52">IF($D$6&lt;&gt;1,SUMIFS(TableAspect[negative],TableAspect[aspect],"="&amp;$M52,TableAspect[month],"="&amp;DATE(INDEX(_xlfn.ANCHORARRAY($H$36),$D$5),$D$6-1,1)),SUMIFS(TableAspect[negative],TableAspect[aspect],"="&amp;$M52,TableAspect[year],"="&amp;DATE(INDEX(_xlfn.ANCHORARRAY($H$36),$D$5),1,1)))</f>
        <v>0</v>
      </c>
      <c r="Q52" cm="1">
        <f t="array" ref="Q52">IF($D$6&lt;&gt;1,SUMIFS(TableAspect[total],TableAspect[aspect],"="&amp;$M52,TableAspect[month],"="&amp;DATE(INDEX(_xlfn.ANCHORARRAY($H$36),$D$5),$D$6-1,1)),SUMIFS(TableAspect[total],TableAspect[aspect],"="&amp;$M52,TableAspect[year],"="&amp;DATE(INDEX(_xlfn.ANCHORARRAY($H$36),$D$5),1,1)))</f>
        <v>0</v>
      </c>
      <c r="R52">
        <f>IF(M52&lt;&gt;0,Q52+(COUNTIFS($Q$8:Q52,Q52) - 1) * 0.000000001,"")</f>
        <v>4.3000000000000001E-8</v>
      </c>
      <c r="T52">
        <f t="shared" si="1"/>
        <v>6.0000000000000008E-9</v>
      </c>
      <c r="U52" t="str">
        <f t="shared" si="2"/>
        <v>filet of fish</v>
      </c>
      <c r="V52">
        <f t="shared" si="3"/>
        <v>0</v>
      </c>
      <c r="W52">
        <f t="shared" si="4"/>
        <v>0</v>
      </c>
      <c r="X52">
        <f t="shared" si="5"/>
        <v>0</v>
      </c>
      <c r="Y52">
        <f t="shared" si="6"/>
        <v>0</v>
      </c>
    </row>
    <row r="53" spans="10:25" x14ac:dyDescent="0.3">
      <c r="J53" s="7"/>
      <c r="M53" s="44" t="str">
        <v>baked beans</v>
      </c>
      <c r="N53" s="8" cm="1">
        <f t="array" ref="N53">IF($D$6&lt;&gt;1,SUMIFS(TableAspect[positive],TableAspect[aspect],"="&amp;$M53,TableAspect[month],"="&amp;DATE(INDEX(_xlfn.ANCHORARRAY($H$36),$D$5),$D$6-1,1)),SUMIFS(TableAspect[positive],TableAspect[aspect],"="&amp;$M53,TableAspect[year],"="&amp;DATE(INDEX(_xlfn.ANCHORARRAY($H$36),$D$5),1,1)))</f>
        <v>0</v>
      </c>
      <c r="O53" s="8" cm="1">
        <f t="array" ref="O53">IF($D$6&lt;&gt;1,SUMIFS(TableAspect[neutral],TableAspect[aspect],"="&amp;$M53,TableAspect[month],"="&amp;DATE(INDEX(_xlfn.ANCHORARRAY($H$36),$D$5),$D$6-1,1)),SUMIFS(TableAspect[neutral],TableAspect[aspect],"="&amp;$M53,TableAspect[year],"="&amp;DATE(INDEX(_xlfn.ANCHORARRAY($H$36),$D$5),1,1)))</f>
        <v>0</v>
      </c>
      <c r="P53" s="8" cm="1">
        <f t="array" ref="P53">IF($D$6&lt;&gt;1,SUMIFS(TableAspect[negative],TableAspect[aspect],"="&amp;$M53,TableAspect[month],"="&amp;DATE(INDEX(_xlfn.ANCHORARRAY($H$36),$D$5),$D$6-1,1)),SUMIFS(TableAspect[negative],TableAspect[aspect],"="&amp;$M53,TableAspect[year],"="&amp;DATE(INDEX(_xlfn.ANCHORARRAY($H$36),$D$5),1,1)))</f>
        <v>0</v>
      </c>
      <c r="Q53" cm="1">
        <f t="array" ref="Q53">IF($D$6&lt;&gt;1,SUMIFS(TableAspect[total],TableAspect[aspect],"="&amp;$M53,TableAspect[month],"="&amp;DATE(INDEX(_xlfn.ANCHORARRAY($H$36),$D$5),$D$6-1,1)),SUMIFS(TableAspect[total],TableAspect[aspect],"="&amp;$M53,TableAspect[year],"="&amp;DATE(INDEX(_xlfn.ANCHORARRAY($H$36),$D$5),1,1)))</f>
        <v>0</v>
      </c>
      <c r="R53">
        <f>IF(M53&lt;&gt;0,Q53+(COUNTIFS($Q$8:Q53,Q53) - 1) * 0.000000001,"")</f>
        <v>4.4000000000000004E-8</v>
      </c>
      <c r="T53">
        <f t="shared" si="1"/>
        <v>5.0000000000000001E-9</v>
      </c>
      <c r="U53" t="str">
        <f t="shared" si="2"/>
        <v>meal</v>
      </c>
      <c r="V53">
        <f t="shared" si="3"/>
        <v>0</v>
      </c>
      <c r="W53">
        <f t="shared" si="4"/>
        <v>0</v>
      </c>
      <c r="X53">
        <f t="shared" si="5"/>
        <v>0</v>
      </c>
      <c r="Y53">
        <f t="shared" si="6"/>
        <v>0</v>
      </c>
    </row>
    <row r="54" spans="10:25" x14ac:dyDescent="0.3">
      <c r="J54" s="7"/>
      <c r="M54" s="44" t="str">
        <v>oreo mcry</v>
      </c>
      <c r="N54" s="8" cm="1">
        <f t="array" ref="N54">IF($D$6&lt;&gt;1,SUMIFS(TableAspect[positive],TableAspect[aspect],"="&amp;$M54,TableAspect[month],"="&amp;DATE(INDEX(_xlfn.ANCHORARRAY($H$36),$D$5),$D$6-1,1)),SUMIFS(TableAspect[positive],TableAspect[aspect],"="&amp;$M54,TableAspect[year],"="&amp;DATE(INDEX(_xlfn.ANCHORARRAY($H$36),$D$5),1,1)))</f>
        <v>0</v>
      </c>
      <c r="O54" s="8" cm="1">
        <f t="array" ref="O54">IF($D$6&lt;&gt;1,SUMIFS(TableAspect[neutral],TableAspect[aspect],"="&amp;$M54,TableAspect[month],"="&amp;DATE(INDEX(_xlfn.ANCHORARRAY($H$36),$D$5),$D$6-1,1)),SUMIFS(TableAspect[neutral],TableAspect[aspect],"="&amp;$M54,TableAspect[year],"="&amp;DATE(INDEX(_xlfn.ANCHORARRAY($H$36),$D$5),1,1)))</f>
        <v>1</v>
      </c>
      <c r="P54" s="8" cm="1">
        <f t="array" ref="P54">IF($D$6&lt;&gt;1,SUMIFS(TableAspect[negative],TableAspect[aspect],"="&amp;$M54,TableAspect[month],"="&amp;DATE(INDEX(_xlfn.ANCHORARRAY($H$36),$D$5),$D$6-1,1)),SUMIFS(TableAspect[negative],TableAspect[aspect],"="&amp;$M54,TableAspect[year],"="&amp;DATE(INDEX(_xlfn.ANCHORARRAY($H$36),$D$5),1,1)))</f>
        <v>0</v>
      </c>
      <c r="Q54" cm="1">
        <f t="array" ref="Q54">IF($D$6&lt;&gt;1,SUMIFS(TableAspect[total],TableAspect[aspect],"="&amp;$M54,TableAspect[month],"="&amp;DATE(INDEX(_xlfn.ANCHORARRAY($H$36),$D$5),$D$6-1,1)),SUMIFS(TableAspect[total],TableAspect[aspect],"="&amp;$M54,TableAspect[year],"="&amp;DATE(INDEX(_xlfn.ANCHORARRAY($H$36),$D$5),1,1)))</f>
        <v>1</v>
      </c>
      <c r="R54">
        <f>IF(M54&lt;&gt;0,Q54+(COUNTIFS($Q$8:Q54,Q54) - 1) * 0.000000001,"")</f>
        <v>1.0000000010000001</v>
      </c>
      <c r="T54">
        <f t="shared" si="1"/>
        <v>4.0000000000000002E-9</v>
      </c>
      <c r="U54" t="str">
        <f t="shared" si="2"/>
        <v>fries</v>
      </c>
      <c r="V54">
        <f t="shared" si="3"/>
        <v>0</v>
      </c>
      <c r="W54">
        <f t="shared" si="4"/>
        <v>0</v>
      </c>
      <c r="X54">
        <f t="shared" si="5"/>
        <v>0</v>
      </c>
      <c r="Y54">
        <f t="shared" si="6"/>
        <v>0</v>
      </c>
    </row>
    <row r="55" spans="10:25" x14ac:dyDescent="0.3">
      <c r="J55" s="7"/>
      <c r="M55" s="44" t="str">
        <v>drinks</v>
      </c>
      <c r="N55" s="8" cm="1">
        <f t="array" ref="N55">IF($D$6&lt;&gt;1,SUMIFS(TableAspect[positive],TableAspect[aspect],"="&amp;$M55,TableAspect[month],"="&amp;DATE(INDEX(_xlfn.ANCHORARRAY($H$36),$D$5),$D$6-1,1)),SUMIFS(TableAspect[positive],TableAspect[aspect],"="&amp;$M55,TableAspect[year],"="&amp;DATE(INDEX(_xlfn.ANCHORARRAY($H$36),$D$5),1,1)))</f>
        <v>0</v>
      </c>
      <c r="O55" s="8" cm="1">
        <f t="array" ref="O55">IF($D$6&lt;&gt;1,SUMIFS(TableAspect[neutral],TableAspect[aspect],"="&amp;$M55,TableAspect[month],"="&amp;DATE(INDEX(_xlfn.ANCHORARRAY($H$36),$D$5),$D$6-1,1)),SUMIFS(TableAspect[neutral],TableAspect[aspect],"="&amp;$M55,TableAspect[year],"="&amp;DATE(INDEX(_xlfn.ANCHORARRAY($H$36),$D$5),1,1)))</f>
        <v>0</v>
      </c>
      <c r="P55" s="8" cm="1">
        <f t="array" ref="P55">IF($D$6&lt;&gt;1,SUMIFS(TableAspect[negative],TableAspect[aspect],"="&amp;$M55,TableAspect[month],"="&amp;DATE(INDEX(_xlfn.ANCHORARRAY($H$36),$D$5),$D$6-1,1)),SUMIFS(TableAspect[negative],TableAspect[aspect],"="&amp;$M55,TableAspect[year],"="&amp;DATE(INDEX(_xlfn.ANCHORARRAY($H$36),$D$5),1,1)))</f>
        <v>0</v>
      </c>
      <c r="Q55" cm="1">
        <f t="array" ref="Q55">IF($D$6&lt;&gt;1,SUMIFS(TableAspect[total],TableAspect[aspect],"="&amp;$M55,TableAspect[month],"="&amp;DATE(INDEX(_xlfn.ANCHORARRAY($H$36),$D$5),$D$6-1,1)),SUMIFS(TableAspect[total],TableAspect[aspect],"="&amp;$M55,TableAspect[year],"="&amp;DATE(INDEX(_xlfn.ANCHORARRAY($H$36),$D$5),1,1)))</f>
        <v>0</v>
      </c>
      <c r="R55">
        <f>IF(M55&lt;&gt;0,Q55+(COUNTIFS($Q$8:Q55,Q55) - 1) * 0.000000001,"")</f>
        <v>4.5000000000000006E-8</v>
      </c>
      <c r="T55">
        <f t="shared" si="1"/>
        <v>3.0000000000000004E-9</v>
      </c>
      <c r="U55" t="str">
        <f t="shared" si="2"/>
        <v>crispy chicken sandwich</v>
      </c>
      <c r="V55">
        <f t="shared" si="3"/>
        <v>0</v>
      </c>
      <c r="W55">
        <f t="shared" si="4"/>
        <v>0</v>
      </c>
      <c r="X55">
        <f t="shared" si="5"/>
        <v>0</v>
      </c>
      <c r="Y55">
        <f t="shared" si="6"/>
        <v>0</v>
      </c>
    </row>
    <row r="56" spans="10:25" x14ac:dyDescent="0.3">
      <c r="J56" s="7"/>
      <c r="M56" s="44" t="str">
        <v>order menu</v>
      </c>
      <c r="N56" s="8" cm="1">
        <f t="array" ref="N56">IF($D$6&lt;&gt;1,SUMIFS(TableAspect[positive],TableAspect[aspect],"="&amp;$M56,TableAspect[month],"="&amp;DATE(INDEX(_xlfn.ANCHORARRAY($H$36),$D$5),$D$6-1,1)),SUMIFS(TableAspect[positive],TableAspect[aspect],"="&amp;$M56,TableAspect[year],"="&amp;DATE(INDEX(_xlfn.ANCHORARRAY($H$36),$D$5),1,1)))</f>
        <v>0</v>
      </c>
      <c r="O56" s="8" cm="1">
        <f t="array" ref="O56">IF($D$6&lt;&gt;1,SUMIFS(TableAspect[neutral],TableAspect[aspect],"="&amp;$M56,TableAspect[month],"="&amp;DATE(INDEX(_xlfn.ANCHORARRAY($H$36),$D$5),$D$6-1,1)),SUMIFS(TableAspect[neutral],TableAspect[aspect],"="&amp;$M56,TableAspect[year],"="&amp;DATE(INDEX(_xlfn.ANCHORARRAY($H$36),$D$5),1,1)))</f>
        <v>0</v>
      </c>
      <c r="P56" s="8" cm="1">
        <f t="array" ref="P56">IF($D$6&lt;&gt;1,SUMIFS(TableAspect[negative],TableAspect[aspect],"="&amp;$M56,TableAspect[month],"="&amp;DATE(INDEX(_xlfn.ANCHORARRAY($H$36),$D$5),$D$6-1,1)),SUMIFS(TableAspect[negative],TableAspect[aspect],"="&amp;$M56,TableAspect[year],"="&amp;DATE(INDEX(_xlfn.ANCHORARRAY($H$36),$D$5),1,1)))</f>
        <v>0</v>
      </c>
      <c r="Q56" cm="1">
        <f t="array" ref="Q56">IF($D$6&lt;&gt;1,SUMIFS(TableAspect[total],TableAspect[aspect],"="&amp;$M56,TableAspect[month],"="&amp;DATE(INDEX(_xlfn.ANCHORARRAY($H$36),$D$5),$D$6-1,1)),SUMIFS(TableAspect[total],TableAspect[aspect],"="&amp;$M56,TableAspect[year],"="&amp;DATE(INDEX(_xlfn.ANCHORARRAY($H$36),$D$5),1,1)))</f>
        <v>0</v>
      </c>
      <c r="R56">
        <f>IF(M56&lt;&gt;0,Q56+(COUNTIFS($Q$8:Q56,Q56) - 1) * 0.000000001,"")</f>
        <v>4.6000000000000002E-8</v>
      </c>
      <c r="T56">
        <f t="shared" si="1"/>
        <v>2.0000000000000001E-9</v>
      </c>
      <c r="U56" t="str">
        <f t="shared" si="2"/>
        <v>sandwich</v>
      </c>
      <c r="V56">
        <f t="shared" si="3"/>
        <v>0</v>
      </c>
      <c r="W56">
        <f t="shared" si="4"/>
        <v>0</v>
      </c>
      <c r="X56">
        <f t="shared" si="5"/>
        <v>0</v>
      </c>
      <c r="Y56">
        <f t="shared" si="6"/>
        <v>0</v>
      </c>
    </row>
    <row r="57" spans="10:25" x14ac:dyDescent="0.3">
      <c r="J57" s="7"/>
      <c r="M57" s="44" t="str">
        <v>order</v>
      </c>
      <c r="N57" s="8" cm="1">
        <f t="array" ref="N57">IF($D$6&lt;&gt;1,SUMIFS(TableAspect[positive],TableAspect[aspect],"="&amp;$M57,TableAspect[month],"="&amp;DATE(INDEX(_xlfn.ANCHORARRAY($H$36),$D$5),$D$6-1,1)),SUMIFS(TableAspect[positive],TableAspect[aspect],"="&amp;$M57,TableAspect[year],"="&amp;DATE(INDEX(_xlfn.ANCHORARRAY($H$36),$D$5),1,1)))</f>
        <v>0</v>
      </c>
      <c r="O57" s="8" cm="1">
        <f t="array" ref="O57">IF($D$6&lt;&gt;1,SUMIFS(TableAspect[neutral],TableAspect[aspect],"="&amp;$M57,TableAspect[month],"="&amp;DATE(INDEX(_xlfn.ANCHORARRAY($H$36),$D$5),$D$6-1,1)),SUMIFS(TableAspect[neutral],TableAspect[aspect],"="&amp;$M57,TableAspect[year],"="&amp;DATE(INDEX(_xlfn.ANCHORARRAY($H$36),$D$5),1,1)))</f>
        <v>0</v>
      </c>
      <c r="P57" s="8" cm="1">
        <f t="array" ref="P57">IF($D$6&lt;&gt;1,SUMIFS(TableAspect[negative],TableAspect[aspect],"="&amp;$M57,TableAspect[month],"="&amp;DATE(INDEX(_xlfn.ANCHORARRAY($H$36),$D$5),$D$6-1,1)),SUMIFS(TableAspect[negative],TableAspect[aspect],"="&amp;$M57,TableAspect[year],"="&amp;DATE(INDEX(_xlfn.ANCHORARRAY($H$36),$D$5),1,1)))</f>
        <v>0</v>
      </c>
      <c r="Q57" cm="1">
        <f t="array" ref="Q57">IF($D$6&lt;&gt;1,SUMIFS(TableAspect[total],TableAspect[aspect],"="&amp;$M57,TableAspect[month],"="&amp;DATE(INDEX(_xlfn.ANCHORARRAY($H$36),$D$5),$D$6-1,1)),SUMIFS(TableAspect[total],TableAspect[aspect],"="&amp;$M57,TableAspect[year],"="&amp;DATE(INDEX(_xlfn.ANCHORARRAY($H$36),$D$5),1,1)))</f>
        <v>0</v>
      </c>
      <c r="R57">
        <f>IF(M57&lt;&gt;0,Q57+(COUNTIFS($Q$8:Q57,Q57) - 1) * 0.000000001,"")</f>
        <v>4.7000000000000004E-8</v>
      </c>
      <c r="T57">
        <f t="shared" si="1"/>
        <v>1.0000000000000001E-9</v>
      </c>
      <c r="U57" t="str">
        <f t="shared" si="2"/>
        <v>fast food</v>
      </c>
      <c r="V57">
        <f t="shared" si="3"/>
        <v>0</v>
      </c>
      <c r="W57">
        <f t="shared" si="4"/>
        <v>0</v>
      </c>
      <c r="X57">
        <f t="shared" si="5"/>
        <v>0</v>
      </c>
      <c r="Y57">
        <f t="shared" si="6"/>
        <v>0</v>
      </c>
    </row>
    <row r="58" spans="10:25" x14ac:dyDescent="0.3">
      <c r="J58" s="7"/>
      <c r="M58" s="44" t="str">
        <v>coke</v>
      </c>
      <c r="N58" s="8" cm="1">
        <f t="array" ref="N58">IF($D$6&lt;&gt;1,SUMIFS(TableAspect[positive],TableAspect[aspect],"="&amp;$M58,TableAspect[month],"="&amp;DATE(INDEX(_xlfn.ANCHORARRAY($H$36),$D$5),$D$6-1,1)),SUMIFS(TableAspect[positive],TableAspect[aspect],"="&amp;$M58,TableAspect[year],"="&amp;DATE(INDEX(_xlfn.ANCHORARRAY($H$36),$D$5),1,1)))</f>
        <v>0</v>
      </c>
      <c r="O58" s="8" cm="1">
        <f t="array" ref="O58">IF($D$6&lt;&gt;1,SUMIFS(TableAspect[neutral],TableAspect[aspect],"="&amp;$M58,TableAspect[month],"="&amp;DATE(INDEX(_xlfn.ANCHORARRAY($H$36),$D$5),$D$6-1,1)),SUMIFS(TableAspect[neutral],TableAspect[aspect],"="&amp;$M58,TableAspect[year],"="&amp;DATE(INDEX(_xlfn.ANCHORARRAY($H$36),$D$5),1,1)))</f>
        <v>0</v>
      </c>
      <c r="P58" s="8" cm="1">
        <f t="array" ref="P58">IF($D$6&lt;&gt;1,SUMIFS(TableAspect[negative],TableAspect[aspect],"="&amp;$M58,TableAspect[month],"="&amp;DATE(INDEX(_xlfn.ANCHORARRAY($H$36),$D$5),$D$6-1,1)),SUMIFS(TableAspect[negative],TableAspect[aspect],"="&amp;$M58,TableAspect[year],"="&amp;DATE(INDEX(_xlfn.ANCHORARRAY($H$36),$D$5),1,1)))</f>
        <v>0</v>
      </c>
      <c r="Q58" cm="1">
        <f t="array" ref="Q58">IF($D$6&lt;&gt;1,SUMIFS(TableAspect[total],TableAspect[aspect],"="&amp;$M58,TableAspect[month],"="&amp;DATE(INDEX(_xlfn.ANCHORARRAY($H$36),$D$5),$D$6-1,1)),SUMIFS(TableAspect[total],TableAspect[aspect],"="&amp;$M58,TableAspect[year],"="&amp;DATE(INDEX(_xlfn.ANCHORARRAY($H$36),$D$5),1,1)))</f>
        <v>0</v>
      </c>
      <c r="R58">
        <f>IF(M58&lt;&gt;0,Q58+(COUNTIFS($Q$8:Q58,Q58) - 1) * 0.000000001,"")</f>
        <v>4.8000000000000006E-8</v>
      </c>
      <c r="T58">
        <f t="shared" si="1"/>
        <v>0</v>
      </c>
      <c r="U58" t="str">
        <f t="shared" si="2"/>
        <v>food</v>
      </c>
      <c r="V58">
        <f t="shared" si="3"/>
        <v>0</v>
      </c>
      <c r="W58">
        <f t="shared" si="4"/>
        <v>0</v>
      </c>
      <c r="X58">
        <f t="shared" si="5"/>
        <v>0</v>
      </c>
      <c r="Y58">
        <f t="shared" si="6"/>
        <v>0</v>
      </c>
    </row>
    <row r="59" spans="10:25" x14ac:dyDescent="0.3">
      <c r="J59" s="7"/>
      <c r="N59" s="8" cm="1">
        <f t="array" ref="N59">IF($D$6&lt;&gt;1,SUMIFS(TableAspect[positive],TableAspect[aspect],"="&amp;$M59,TableAspect[month],"="&amp;DATE(INDEX(_xlfn.ANCHORARRAY($H$36),$D$5),$D$6-1,1)),SUMIFS(TableAspect[positive],TableAspect[aspect],"="&amp;$M59,TableAspect[year],"="&amp;DATE(INDEX(_xlfn.ANCHORARRAY($H$36),$D$5),1,1)))</f>
        <v>0</v>
      </c>
      <c r="O59" s="8" cm="1">
        <f t="array" ref="O59">IF($D$6&lt;&gt;1,SUMIFS(TableAspect[neutral],TableAspect[aspect],"="&amp;$M59,TableAspect[month],"="&amp;DATE(INDEX(_xlfn.ANCHORARRAY($H$36),$D$5),$D$6-1,1)),SUMIFS(TableAspect[neutral],TableAspect[aspect],"="&amp;$M59,TableAspect[year],"="&amp;DATE(INDEX(_xlfn.ANCHORARRAY($H$36),$D$5),1,1)))</f>
        <v>0</v>
      </c>
      <c r="P59" s="8" cm="1">
        <f t="array" ref="P59">IF($D$6&lt;&gt;1,SUMIFS(TableAspect[negative],TableAspect[aspect],"="&amp;$M59,TableAspect[month],"="&amp;DATE(INDEX(_xlfn.ANCHORARRAY($H$36),$D$5),$D$6-1,1)),SUMIFS(TableAspect[negative],TableAspect[aspect],"="&amp;$M59,TableAspect[year],"="&amp;DATE(INDEX(_xlfn.ANCHORARRAY($H$36),$D$5),1,1)))</f>
        <v>0</v>
      </c>
      <c r="Q59" cm="1">
        <f t="array" ref="Q59">IF($D$6&lt;&gt;1,SUMIFS(TableAspect[total],TableAspect[aspect],"="&amp;$M59,TableAspect[month],"="&amp;DATE(INDEX(_xlfn.ANCHORARRAY($H$36),$D$5),$D$6-1,1)),SUMIFS(TableAspect[total],TableAspect[aspect],"="&amp;$M59,TableAspect[year],"="&amp;DATE(INDEX(_xlfn.ANCHORARRAY($H$36),$D$5),1,1)))</f>
        <v>0</v>
      </c>
      <c r="R59" t="str">
        <f>IF(M59&lt;&gt;0,Q59+(COUNTIFS($Q$8:Q59,Q59) - 1) * 0.000000001,"")</f>
        <v/>
      </c>
      <c r="T59" t="str">
        <f t="shared" si="1"/>
        <v/>
      </c>
      <c r="U59">
        <f t="shared" si="2"/>
        <v>0</v>
      </c>
      <c r="V59">
        <f t="shared" si="3"/>
        <v>0</v>
      </c>
      <c r="W59">
        <f t="shared" si="4"/>
        <v>0</v>
      </c>
      <c r="X59">
        <f t="shared" si="5"/>
        <v>0</v>
      </c>
      <c r="Y59">
        <f t="shared" si="6"/>
        <v>0</v>
      </c>
    </row>
    <row r="60" spans="10:25" x14ac:dyDescent="0.3">
      <c r="J60" s="7"/>
      <c r="N60" s="8" cm="1">
        <f t="array" ref="N60">IF($D$6&lt;&gt;1,SUMIFS(TableAspect[positive],TableAspect[aspect],"="&amp;$M60,TableAspect[month],"="&amp;DATE(INDEX(_xlfn.ANCHORARRAY($H$36),$D$5),$D$6-1,1)),SUMIFS(TableAspect[positive],TableAspect[aspect],"="&amp;$M60,TableAspect[year],"="&amp;DATE(INDEX(_xlfn.ANCHORARRAY($H$36),$D$5),1,1)))</f>
        <v>0</v>
      </c>
      <c r="O60" s="8" cm="1">
        <f t="array" ref="O60">IF($D$6&lt;&gt;1,SUMIFS(TableAspect[neutral],TableAspect[aspect],"="&amp;$M60,TableAspect[month],"="&amp;DATE(INDEX(_xlfn.ANCHORARRAY($H$36),$D$5),$D$6-1,1)),SUMIFS(TableAspect[neutral],TableAspect[aspect],"="&amp;$M60,TableAspect[year],"="&amp;DATE(INDEX(_xlfn.ANCHORARRAY($H$36),$D$5),1,1)))</f>
        <v>0</v>
      </c>
      <c r="P60" s="8" cm="1">
        <f t="array" ref="P60">IF($D$6&lt;&gt;1,SUMIFS(TableAspect[negative],TableAspect[aspect],"="&amp;$M60,TableAspect[month],"="&amp;DATE(INDEX(_xlfn.ANCHORARRAY($H$36),$D$5),$D$6-1,1)),SUMIFS(TableAspect[negative],TableAspect[aspect],"="&amp;$M60,TableAspect[year],"="&amp;DATE(INDEX(_xlfn.ANCHORARRAY($H$36),$D$5),1,1)))</f>
        <v>0</v>
      </c>
      <c r="Q60" cm="1">
        <f t="array" ref="Q60">IF($D$6&lt;&gt;1,SUMIFS(TableAspect[total],TableAspect[aspect],"="&amp;$M60,TableAspect[month],"="&amp;DATE(INDEX(_xlfn.ANCHORARRAY($H$36),$D$5),$D$6-1,1)),SUMIFS(TableAspect[total],TableAspect[aspect],"="&amp;$M60,TableAspect[year],"="&amp;DATE(INDEX(_xlfn.ANCHORARRAY($H$36),$D$5),1,1)))</f>
        <v>0</v>
      </c>
      <c r="R60" t="str">
        <f>IF(M60&lt;&gt;0,Q60+(COUNTIFS($Q$8:Q60,Q60) - 1) * 0.000000001,"")</f>
        <v/>
      </c>
      <c r="T60" t="str">
        <f t="shared" si="1"/>
        <v/>
      </c>
      <c r="U60">
        <f t="shared" si="2"/>
        <v>0</v>
      </c>
      <c r="V60">
        <f t="shared" si="3"/>
        <v>0</v>
      </c>
      <c r="W60">
        <f t="shared" si="4"/>
        <v>0</v>
      </c>
      <c r="X60">
        <f t="shared" si="5"/>
        <v>0</v>
      </c>
      <c r="Y60">
        <f t="shared" si="6"/>
        <v>0</v>
      </c>
    </row>
    <row r="61" spans="10:25" x14ac:dyDescent="0.3">
      <c r="J61" s="7"/>
      <c r="N61" s="8" cm="1">
        <f t="array" ref="N61">IF($D$6&lt;&gt;1,SUMIFS(TableAspect[positive],TableAspect[aspect],"="&amp;$M61,TableAspect[month],"="&amp;DATE(INDEX(_xlfn.ANCHORARRAY($H$36),$D$5),$D$6-1,1)),SUMIFS(TableAspect[positive],TableAspect[aspect],"="&amp;$M61,TableAspect[year],"="&amp;DATE(INDEX(_xlfn.ANCHORARRAY($H$36),$D$5),1,1)))</f>
        <v>0</v>
      </c>
      <c r="O61" s="8" cm="1">
        <f t="array" ref="O61">IF($D$6&lt;&gt;1,SUMIFS(TableAspect[neutral],TableAspect[aspect],"="&amp;$M61,TableAspect[month],"="&amp;DATE(INDEX(_xlfn.ANCHORARRAY($H$36),$D$5),$D$6-1,1)),SUMIFS(TableAspect[neutral],TableAspect[aspect],"="&amp;$M61,TableAspect[year],"="&amp;DATE(INDEX(_xlfn.ANCHORARRAY($H$36),$D$5),1,1)))</f>
        <v>0</v>
      </c>
      <c r="P61" s="8" cm="1">
        <f t="array" ref="P61">IF($D$6&lt;&gt;1,SUMIFS(TableAspect[negative],TableAspect[aspect],"="&amp;$M61,TableAspect[month],"="&amp;DATE(INDEX(_xlfn.ANCHORARRAY($H$36),$D$5),$D$6-1,1)),SUMIFS(TableAspect[negative],TableAspect[aspect],"="&amp;$M61,TableAspect[year],"="&amp;DATE(INDEX(_xlfn.ANCHORARRAY($H$36),$D$5),1,1)))</f>
        <v>0</v>
      </c>
      <c r="Q61" cm="1">
        <f t="array" ref="Q61">IF($D$6&lt;&gt;1,SUMIFS(TableAspect[total],TableAspect[aspect],"="&amp;$M61,TableAspect[month],"="&amp;DATE(INDEX(_xlfn.ANCHORARRAY($H$36),$D$5),$D$6-1,1)),SUMIFS(TableAspect[total],TableAspect[aspect],"="&amp;$M61,TableAspect[year],"="&amp;DATE(INDEX(_xlfn.ANCHORARRAY($H$36),$D$5),1,1)))</f>
        <v>0</v>
      </c>
      <c r="R61" t="str">
        <f>IF(M61&lt;&gt;0,Q61+(COUNTIFS($Q$8:Q61,Q61) - 1) * 0.000000001,"")</f>
        <v/>
      </c>
      <c r="T61" t="str">
        <f t="shared" si="1"/>
        <v/>
      </c>
      <c r="U61">
        <f t="shared" si="2"/>
        <v>0</v>
      </c>
      <c r="V61">
        <f t="shared" si="3"/>
        <v>0</v>
      </c>
      <c r="W61">
        <f t="shared" si="4"/>
        <v>0</v>
      </c>
      <c r="X61">
        <f t="shared" si="5"/>
        <v>0</v>
      </c>
      <c r="Y61">
        <f t="shared" si="6"/>
        <v>0</v>
      </c>
    </row>
    <row r="62" spans="10:25" x14ac:dyDescent="0.3">
      <c r="J62" s="7"/>
      <c r="N62" s="8" cm="1">
        <f t="array" ref="N62">IF($D$6&lt;&gt;1,SUMIFS(TableAspect[positive],TableAspect[aspect],"="&amp;$M62,TableAspect[month],"="&amp;DATE(INDEX(_xlfn.ANCHORARRAY($H$36),$D$5),$D$6-1,1)),SUMIFS(TableAspect[positive],TableAspect[aspect],"="&amp;$M62,TableAspect[year],"="&amp;DATE(INDEX(_xlfn.ANCHORARRAY($H$36),$D$5),1,1)))</f>
        <v>0</v>
      </c>
      <c r="O62" s="8" cm="1">
        <f t="array" ref="O62">IF($D$6&lt;&gt;1,SUMIFS(TableAspect[neutral],TableAspect[aspect],"="&amp;$M62,TableAspect[month],"="&amp;DATE(INDEX(_xlfn.ANCHORARRAY($H$36),$D$5),$D$6-1,1)),SUMIFS(TableAspect[neutral],TableAspect[aspect],"="&amp;$M62,TableAspect[year],"="&amp;DATE(INDEX(_xlfn.ANCHORARRAY($H$36),$D$5),1,1)))</f>
        <v>0</v>
      </c>
      <c r="P62" s="8" cm="1">
        <f t="array" ref="P62">IF($D$6&lt;&gt;1,SUMIFS(TableAspect[negative],TableAspect[aspect],"="&amp;$M62,TableAspect[month],"="&amp;DATE(INDEX(_xlfn.ANCHORARRAY($H$36),$D$5),$D$6-1,1)),SUMIFS(TableAspect[negative],TableAspect[aspect],"="&amp;$M62,TableAspect[year],"="&amp;DATE(INDEX(_xlfn.ANCHORARRAY($H$36),$D$5),1,1)))</f>
        <v>0</v>
      </c>
      <c r="Q62" cm="1">
        <f t="array" ref="Q62">IF($D$6&lt;&gt;1,SUMIFS(TableAspect[total],TableAspect[aspect],"="&amp;$M62,TableAspect[month],"="&amp;DATE(INDEX(_xlfn.ANCHORARRAY($H$36),$D$5),$D$6-1,1)),SUMIFS(TableAspect[total],TableAspect[aspect],"="&amp;$M62,TableAspect[year],"="&amp;DATE(INDEX(_xlfn.ANCHORARRAY($H$36),$D$5),1,1)))</f>
        <v>0</v>
      </c>
      <c r="R62" t="str">
        <f>IF(M62&lt;&gt;0,Q62+(COUNTIFS($Q$8:Q62,Q62) - 1) * 0.000000001,"")</f>
        <v/>
      </c>
      <c r="T62" t="str">
        <f t="shared" si="1"/>
        <v/>
      </c>
      <c r="U62">
        <f t="shared" si="2"/>
        <v>0</v>
      </c>
      <c r="V62">
        <f t="shared" si="3"/>
        <v>0</v>
      </c>
      <c r="W62">
        <f t="shared" si="4"/>
        <v>0</v>
      </c>
      <c r="X62">
        <f t="shared" si="5"/>
        <v>0</v>
      </c>
      <c r="Y62">
        <f t="shared" si="6"/>
        <v>0</v>
      </c>
    </row>
    <row r="63" spans="10:25" x14ac:dyDescent="0.3">
      <c r="J63" s="7"/>
      <c r="N63" s="8" cm="1">
        <f t="array" ref="N63">IF($D$6&lt;&gt;1,SUMIFS(TableAspect[positive],TableAspect[aspect],"="&amp;$M63,TableAspect[month],"="&amp;DATE(INDEX(_xlfn.ANCHORARRAY($H$36),$D$5),$D$6-1,1)),SUMIFS(TableAspect[positive],TableAspect[aspect],"="&amp;$M63,TableAspect[year],"="&amp;DATE(INDEX(_xlfn.ANCHORARRAY($H$36),$D$5),1,1)))</f>
        <v>0</v>
      </c>
      <c r="O63" s="8" cm="1">
        <f t="array" ref="O63">IF($D$6&lt;&gt;1,SUMIFS(TableAspect[neutral],TableAspect[aspect],"="&amp;$M63,TableAspect[month],"="&amp;DATE(INDEX(_xlfn.ANCHORARRAY($H$36),$D$5),$D$6-1,1)),SUMIFS(TableAspect[neutral],TableAspect[aspect],"="&amp;$M63,TableAspect[year],"="&amp;DATE(INDEX(_xlfn.ANCHORARRAY($H$36),$D$5),1,1)))</f>
        <v>0</v>
      </c>
      <c r="P63" s="8" cm="1">
        <f t="array" ref="P63">IF($D$6&lt;&gt;1,SUMIFS(TableAspect[negative],TableAspect[aspect],"="&amp;$M63,TableAspect[month],"="&amp;DATE(INDEX(_xlfn.ANCHORARRAY($H$36),$D$5),$D$6-1,1)),SUMIFS(TableAspect[negative],TableAspect[aspect],"="&amp;$M63,TableAspect[year],"="&amp;DATE(INDEX(_xlfn.ANCHORARRAY($H$36),$D$5),1,1)))</f>
        <v>0</v>
      </c>
      <c r="Q63" cm="1">
        <f t="array" ref="Q63">IF($D$6&lt;&gt;1,SUMIFS(TableAspect[total],TableAspect[aspect],"="&amp;$M63,TableAspect[month],"="&amp;DATE(INDEX(_xlfn.ANCHORARRAY($H$36),$D$5),$D$6-1,1)),SUMIFS(TableAspect[total],TableAspect[aspect],"="&amp;$M63,TableAspect[year],"="&amp;DATE(INDEX(_xlfn.ANCHORARRAY($H$36),$D$5),1,1)))</f>
        <v>0</v>
      </c>
      <c r="R63" t="str">
        <f>IF(M63&lt;&gt;0,Q63+(COUNTIFS($Q$8:Q63,Q63) - 1) * 0.000000001,"")</f>
        <v/>
      </c>
      <c r="T63" t="str">
        <f t="shared" si="1"/>
        <v/>
      </c>
      <c r="U63">
        <f t="shared" si="2"/>
        <v>0</v>
      </c>
      <c r="V63">
        <f t="shared" si="3"/>
        <v>0</v>
      </c>
      <c r="W63">
        <f t="shared" si="4"/>
        <v>0</v>
      </c>
      <c r="X63">
        <f t="shared" si="5"/>
        <v>0</v>
      </c>
      <c r="Y63">
        <f t="shared" si="6"/>
        <v>0</v>
      </c>
    </row>
    <row r="64" spans="10:25" x14ac:dyDescent="0.3">
      <c r="J64" s="7"/>
      <c r="N64" s="8" cm="1">
        <f t="array" ref="N64">IF($D$6&lt;&gt;1,SUMIFS(TableAspect[positive],TableAspect[aspect],"="&amp;$M64,TableAspect[month],"="&amp;DATE(INDEX(_xlfn.ANCHORARRAY($H$36),$D$5),$D$6-1,1)),SUMIFS(TableAspect[positive],TableAspect[aspect],"="&amp;$M64,TableAspect[year],"="&amp;DATE(INDEX(_xlfn.ANCHORARRAY($H$36),$D$5),1,1)))</f>
        <v>0</v>
      </c>
      <c r="O64" s="8" cm="1">
        <f t="array" ref="O64">IF($D$6&lt;&gt;1,SUMIFS(TableAspect[neutral],TableAspect[aspect],"="&amp;$M64,TableAspect[month],"="&amp;DATE(INDEX(_xlfn.ANCHORARRAY($H$36),$D$5),$D$6-1,1)),SUMIFS(TableAspect[neutral],TableAspect[aspect],"="&amp;$M64,TableAspect[year],"="&amp;DATE(INDEX(_xlfn.ANCHORARRAY($H$36),$D$5),1,1)))</f>
        <v>0</v>
      </c>
      <c r="P64" s="8" cm="1">
        <f t="array" ref="P64">IF($D$6&lt;&gt;1,SUMIFS(TableAspect[negative],TableAspect[aspect],"="&amp;$M64,TableAspect[month],"="&amp;DATE(INDEX(_xlfn.ANCHORARRAY($H$36),$D$5),$D$6-1,1)),SUMIFS(TableAspect[negative],TableAspect[aspect],"="&amp;$M64,TableAspect[year],"="&amp;DATE(INDEX(_xlfn.ANCHORARRAY($H$36),$D$5),1,1)))</f>
        <v>0</v>
      </c>
      <c r="Q64" cm="1">
        <f t="array" ref="Q64">IF($D$6&lt;&gt;1,SUMIFS(TableAspect[total],TableAspect[aspect],"="&amp;$M64,TableAspect[month],"="&amp;DATE(INDEX(_xlfn.ANCHORARRAY($H$36),$D$5),$D$6-1,1)),SUMIFS(TableAspect[total],TableAspect[aspect],"="&amp;$M64,TableAspect[year],"="&amp;DATE(INDEX(_xlfn.ANCHORARRAY($H$36),$D$5),1,1)))</f>
        <v>0</v>
      </c>
      <c r="R64" t="str">
        <f>IF(M64&lt;&gt;0,Q64+(COUNTIFS($Q$8:Q64,Q64) - 1) * 0.000000001,"")</f>
        <v/>
      </c>
      <c r="T64" t="str">
        <f t="shared" si="1"/>
        <v/>
      </c>
      <c r="U64">
        <f t="shared" si="2"/>
        <v>0</v>
      </c>
      <c r="V64">
        <f t="shared" si="3"/>
        <v>0</v>
      </c>
      <c r="W64">
        <f t="shared" si="4"/>
        <v>0</v>
      </c>
      <c r="X64">
        <f t="shared" si="5"/>
        <v>0</v>
      </c>
      <c r="Y64">
        <f t="shared" si="6"/>
        <v>0</v>
      </c>
    </row>
    <row r="65" spans="10:25" x14ac:dyDescent="0.3">
      <c r="J65" s="7"/>
      <c r="N65" s="8" cm="1">
        <f t="array" ref="N65">IF($D$6&lt;&gt;1,SUMIFS(TableAspect[positive],TableAspect[aspect],"="&amp;$M65,TableAspect[month],"="&amp;DATE(INDEX(_xlfn.ANCHORARRAY($H$36),$D$5),$D$6-1,1)),SUMIFS(TableAspect[positive],TableAspect[aspect],"="&amp;$M65,TableAspect[year],"="&amp;DATE(INDEX(_xlfn.ANCHORARRAY($H$36),$D$5),1,1)))</f>
        <v>0</v>
      </c>
      <c r="O65" s="8" cm="1">
        <f t="array" ref="O65">IF($D$6&lt;&gt;1,SUMIFS(TableAspect[neutral],TableAspect[aspect],"="&amp;$M65,TableAspect[month],"="&amp;DATE(INDEX(_xlfn.ANCHORARRAY($H$36),$D$5),$D$6-1,1)),SUMIFS(TableAspect[neutral],TableAspect[aspect],"="&amp;$M65,TableAspect[year],"="&amp;DATE(INDEX(_xlfn.ANCHORARRAY($H$36),$D$5),1,1)))</f>
        <v>0</v>
      </c>
      <c r="P65" s="8" cm="1">
        <f t="array" ref="P65">IF($D$6&lt;&gt;1,SUMIFS(TableAspect[negative],TableAspect[aspect],"="&amp;$M65,TableAspect[month],"="&amp;DATE(INDEX(_xlfn.ANCHORARRAY($H$36),$D$5),$D$6-1,1)),SUMIFS(TableAspect[negative],TableAspect[aspect],"="&amp;$M65,TableAspect[year],"="&amp;DATE(INDEX(_xlfn.ANCHORARRAY($H$36),$D$5),1,1)))</f>
        <v>0</v>
      </c>
      <c r="Q65" cm="1">
        <f t="array" ref="Q65">IF($D$6&lt;&gt;1,SUMIFS(TableAspect[total],TableAspect[aspect],"="&amp;$M65,TableAspect[month],"="&amp;DATE(INDEX(_xlfn.ANCHORARRAY($H$36),$D$5),$D$6-1,1)),SUMIFS(TableAspect[total],TableAspect[aspect],"="&amp;$M65,TableAspect[year],"="&amp;DATE(INDEX(_xlfn.ANCHORARRAY($H$36),$D$5),1,1)))</f>
        <v>0</v>
      </c>
      <c r="R65" t="str">
        <f>IF(M65&lt;&gt;0,Q65+(COUNTIFS($Q$8:Q65,Q65) - 1) * 0.000000001,"")</f>
        <v/>
      </c>
      <c r="T65" t="str">
        <f t="shared" si="1"/>
        <v/>
      </c>
      <c r="U65">
        <f t="shared" si="2"/>
        <v>0</v>
      </c>
      <c r="V65">
        <f t="shared" si="3"/>
        <v>0</v>
      </c>
      <c r="W65">
        <f t="shared" si="4"/>
        <v>0</v>
      </c>
      <c r="X65">
        <f t="shared" si="5"/>
        <v>0</v>
      </c>
      <c r="Y65">
        <f t="shared" si="6"/>
        <v>0</v>
      </c>
    </row>
    <row r="66" spans="10:25" x14ac:dyDescent="0.3">
      <c r="J66" s="7"/>
      <c r="N66" s="8" cm="1">
        <f t="array" ref="N66">IF($D$6&lt;&gt;1,SUMIFS(TableAspect[positive],TableAspect[aspect],"="&amp;$M66,TableAspect[month],"="&amp;DATE(INDEX(_xlfn.ANCHORARRAY($H$36),$D$5),$D$6-1,1)),SUMIFS(TableAspect[positive],TableAspect[aspect],"="&amp;$M66,TableAspect[year],"="&amp;DATE(INDEX(_xlfn.ANCHORARRAY($H$36),$D$5),1,1)))</f>
        <v>0</v>
      </c>
      <c r="O66" s="8" cm="1">
        <f t="array" ref="O66">IF($D$6&lt;&gt;1,SUMIFS(TableAspect[neutral],TableAspect[aspect],"="&amp;$M66,TableAspect[month],"="&amp;DATE(INDEX(_xlfn.ANCHORARRAY($H$36),$D$5),$D$6-1,1)),SUMIFS(TableAspect[neutral],TableAspect[aspect],"="&amp;$M66,TableAspect[year],"="&amp;DATE(INDEX(_xlfn.ANCHORARRAY($H$36),$D$5),1,1)))</f>
        <v>0</v>
      </c>
      <c r="P66" s="8" cm="1">
        <f t="array" ref="P66">IF($D$6&lt;&gt;1,SUMIFS(TableAspect[negative],TableAspect[aspect],"="&amp;$M66,TableAspect[month],"="&amp;DATE(INDEX(_xlfn.ANCHORARRAY($H$36),$D$5),$D$6-1,1)),SUMIFS(TableAspect[negative],TableAspect[aspect],"="&amp;$M66,TableAspect[year],"="&amp;DATE(INDEX(_xlfn.ANCHORARRAY($H$36),$D$5),1,1)))</f>
        <v>0</v>
      </c>
      <c r="Q66" cm="1">
        <f t="array" ref="Q66">IF($D$6&lt;&gt;1,SUMIFS(TableAspect[total],TableAspect[aspect],"="&amp;$M66,TableAspect[month],"="&amp;DATE(INDEX(_xlfn.ANCHORARRAY($H$36),$D$5),$D$6-1,1)),SUMIFS(TableAspect[total],TableAspect[aspect],"="&amp;$M66,TableAspect[year],"="&amp;DATE(INDEX(_xlfn.ANCHORARRAY($H$36),$D$5),1,1)))</f>
        <v>0</v>
      </c>
      <c r="R66" t="str">
        <f>IF(M66&lt;&gt;0,Q66+(COUNTIFS($Q$8:Q66,Q66) - 1) * 0.000000001,"")</f>
        <v/>
      </c>
      <c r="T66" t="str">
        <f t="shared" si="1"/>
        <v/>
      </c>
      <c r="U66">
        <f t="shared" si="2"/>
        <v>0</v>
      </c>
      <c r="V66">
        <f t="shared" si="3"/>
        <v>0</v>
      </c>
      <c r="W66">
        <f t="shared" si="4"/>
        <v>0</v>
      </c>
      <c r="X66">
        <f t="shared" si="5"/>
        <v>0</v>
      </c>
      <c r="Y66">
        <f t="shared" si="6"/>
        <v>0</v>
      </c>
    </row>
    <row r="67" spans="10:25" x14ac:dyDescent="0.3">
      <c r="J67" s="7"/>
      <c r="T67" t="str">
        <f t="shared" si="1"/>
        <v/>
      </c>
      <c r="U67">
        <f t="shared" si="2"/>
        <v>0</v>
      </c>
      <c r="V67">
        <f t="shared" si="3"/>
        <v>0</v>
      </c>
      <c r="W67">
        <f t="shared" si="4"/>
        <v>0</v>
      </c>
      <c r="X67">
        <f t="shared" si="5"/>
        <v>0</v>
      </c>
      <c r="Y67">
        <f t="shared" si="6"/>
        <v>0</v>
      </c>
    </row>
    <row r="68" spans="10:25" x14ac:dyDescent="0.3">
      <c r="J68" s="7"/>
      <c r="T68" t="str">
        <f t="shared" si="1"/>
        <v/>
      </c>
      <c r="U68">
        <f t="shared" si="2"/>
        <v>0</v>
      </c>
      <c r="V68">
        <f t="shared" si="3"/>
        <v>0</v>
      </c>
      <c r="W68">
        <f t="shared" si="4"/>
        <v>0</v>
      </c>
      <c r="X68">
        <f t="shared" si="5"/>
        <v>0</v>
      </c>
      <c r="Y68">
        <f t="shared" si="6"/>
        <v>0</v>
      </c>
    </row>
    <row r="69" spans="10:25" x14ac:dyDescent="0.3">
      <c r="J69" s="7"/>
      <c r="T69" t="str">
        <f t="shared" si="1"/>
        <v/>
      </c>
      <c r="U69">
        <f t="shared" si="2"/>
        <v>0</v>
      </c>
      <c r="V69">
        <f t="shared" si="3"/>
        <v>0</v>
      </c>
      <c r="W69">
        <f t="shared" si="4"/>
        <v>0</v>
      </c>
      <c r="X69">
        <f t="shared" si="5"/>
        <v>0</v>
      </c>
      <c r="Y69">
        <f t="shared" si="6"/>
        <v>0</v>
      </c>
    </row>
    <row r="70" spans="10:25" x14ac:dyDescent="0.3">
      <c r="J70" s="7"/>
      <c r="T70" t="str">
        <f t="shared" si="1"/>
        <v/>
      </c>
      <c r="U70">
        <f t="shared" si="2"/>
        <v>0</v>
      </c>
      <c r="V70">
        <f t="shared" si="3"/>
        <v>0</v>
      </c>
      <c r="W70">
        <f t="shared" si="4"/>
        <v>0</v>
      </c>
      <c r="X70">
        <f t="shared" si="5"/>
        <v>0</v>
      </c>
      <c r="Y70">
        <f t="shared" si="6"/>
        <v>0</v>
      </c>
    </row>
    <row r="71" spans="10:25" x14ac:dyDescent="0.3">
      <c r="J71" s="7"/>
      <c r="T71" t="str">
        <f t="shared" si="1"/>
        <v/>
      </c>
      <c r="U71">
        <f t="shared" si="2"/>
        <v>0</v>
      </c>
      <c r="V71">
        <f t="shared" si="3"/>
        <v>0</v>
      </c>
      <c r="W71">
        <f t="shared" si="4"/>
        <v>0</v>
      </c>
      <c r="X71">
        <f t="shared" si="5"/>
        <v>0</v>
      </c>
      <c r="Y71">
        <f t="shared" si="6"/>
        <v>0</v>
      </c>
    </row>
    <row r="72" spans="10:25" x14ac:dyDescent="0.3">
      <c r="J72" s="7"/>
      <c r="T72" t="str">
        <f t="shared" si="1"/>
        <v/>
      </c>
      <c r="U72">
        <f t="shared" si="2"/>
        <v>0</v>
      </c>
      <c r="V72">
        <f t="shared" si="3"/>
        <v>0</v>
      </c>
      <c r="W72">
        <f t="shared" si="4"/>
        <v>0</v>
      </c>
      <c r="X72">
        <f t="shared" si="5"/>
        <v>0</v>
      </c>
      <c r="Y72">
        <f t="shared" si="6"/>
        <v>0</v>
      </c>
    </row>
    <row r="73" spans="10:25" x14ac:dyDescent="0.3">
      <c r="J73" s="7"/>
      <c r="T73" t="str">
        <f t="shared" ref="T73:T77" si="12">IFERROR(LARGE($R$8:$R$1048505,ROW()-ROW($T$7)),"")</f>
        <v/>
      </c>
      <c r="U73">
        <f t="shared" ref="U73:U77" si="13">IFERROR(INDEX($M$8:$M$1048505,MATCH(T73,$R$8:$R$1048505,0)),"")</f>
        <v>0</v>
      </c>
      <c r="V73">
        <f t="shared" ref="V73:V77" si="14">IFERROR(INDEX($N$8:$N$1048505,MATCH(T73,$R$8:$R$1048505,0)),"")</f>
        <v>0</v>
      </c>
      <c r="W73">
        <f t="shared" ref="W73:W77" si="15">IFERROR(INDEX($O$8:$O$1048505,MATCH(T73,$R$8:$R$1048505,0)),"")</f>
        <v>0</v>
      </c>
      <c r="X73">
        <f t="shared" ref="X73:X77" si="16">IFERROR(INDEX($P$8:$P$1048505,MATCH(T73,$R$8:$R$1048505,0)),"")</f>
        <v>0</v>
      </c>
      <c r="Y73">
        <f t="shared" ref="Y73:Y77" si="17">IFERROR(INDEX($Q$8:$Q$1048505,MATCH(T73,$R$8:$R$1048505,0)),"")</f>
        <v>0</v>
      </c>
    </row>
    <row r="74" spans="10:25" x14ac:dyDescent="0.3">
      <c r="J74" s="7"/>
      <c r="T74" t="str">
        <f t="shared" si="12"/>
        <v/>
      </c>
      <c r="U74">
        <f t="shared" si="13"/>
        <v>0</v>
      </c>
      <c r="V74">
        <f t="shared" si="14"/>
        <v>0</v>
      </c>
      <c r="W74">
        <f t="shared" si="15"/>
        <v>0</v>
      </c>
      <c r="X74">
        <f t="shared" si="16"/>
        <v>0</v>
      </c>
      <c r="Y74">
        <f t="shared" si="17"/>
        <v>0</v>
      </c>
    </row>
    <row r="75" spans="10:25" x14ac:dyDescent="0.3">
      <c r="J75" s="7"/>
      <c r="T75" t="str">
        <f t="shared" si="12"/>
        <v/>
      </c>
      <c r="U75">
        <f t="shared" si="13"/>
        <v>0</v>
      </c>
      <c r="V75">
        <f t="shared" si="14"/>
        <v>0</v>
      </c>
      <c r="W75">
        <f t="shared" si="15"/>
        <v>0</v>
      </c>
      <c r="X75">
        <f t="shared" si="16"/>
        <v>0</v>
      </c>
      <c r="Y75">
        <f t="shared" si="17"/>
        <v>0</v>
      </c>
    </row>
    <row r="76" spans="10:25" x14ac:dyDescent="0.3">
      <c r="J76" s="7"/>
      <c r="T76" t="str">
        <f t="shared" si="12"/>
        <v/>
      </c>
      <c r="U76">
        <f t="shared" si="13"/>
        <v>0</v>
      </c>
      <c r="V76">
        <f t="shared" si="14"/>
        <v>0</v>
      </c>
      <c r="W76">
        <f t="shared" si="15"/>
        <v>0</v>
      </c>
      <c r="X76">
        <f t="shared" si="16"/>
        <v>0</v>
      </c>
      <c r="Y76">
        <f t="shared" si="17"/>
        <v>0</v>
      </c>
    </row>
    <row r="77" spans="10:25" x14ac:dyDescent="0.3">
      <c r="J77" s="7"/>
      <c r="T77" t="str">
        <f t="shared" si="12"/>
        <v/>
      </c>
      <c r="U77">
        <f t="shared" si="13"/>
        <v>0</v>
      </c>
      <c r="V77">
        <f t="shared" si="14"/>
        <v>0</v>
      </c>
      <c r="W77">
        <f t="shared" si="15"/>
        <v>0</v>
      </c>
      <c r="X77">
        <f t="shared" si="16"/>
        <v>0</v>
      </c>
      <c r="Y77">
        <f t="shared" si="17"/>
        <v>0</v>
      </c>
    </row>
    <row r="78" spans="10:25" x14ac:dyDescent="0.3">
      <c r="J78" s="7"/>
    </row>
    <row r="79" spans="10:25" x14ac:dyDescent="0.3">
      <c r="J79" s="7"/>
    </row>
    <row r="80" spans="10:25" x14ac:dyDescent="0.3">
      <c r="J80" s="7"/>
    </row>
    <row r="81" spans="10:10" x14ac:dyDescent="0.3">
      <c r="J81" s="7"/>
    </row>
    <row r="82" spans="10:10" x14ac:dyDescent="0.3">
      <c r="J82" s="7"/>
    </row>
    <row r="83" spans="10:10" x14ac:dyDescent="0.3">
      <c r="J83" s="7"/>
    </row>
    <row r="84" spans="10:10" x14ac:dyDescent="0.3">
      <c r="J84" s="7"/>
    </row>
    <row r="85" spans="10:10" x14ac:dyDescent="0.3">
      <c r="J85" s="7"/>
    </row>
    <row r="86" spans="10:10" x14ac:dyDescent="0.3">
      <c r="J86" s="7"/>
    </row>
    <row r="87" spans="10:10" x14ac:dyDescent="0.3">
      <c r="J87" s="7"/>
    </row>
    <row r="88" spans="10:10" x14ac:dyDescent="0.3">
      <c r="J88" s="7"/>
    </row>
    <row r="89" spans="10:10" x14ac:dyDescent="0.3">
      <c r="J89" s="7"/>
    </row>
    <row r="90" spans="10:10" x14ac:dyDescent="0.3">
      <c r="J90" s="7"/>
    </row>
    <row r="91" spans="10:10" x14ac:dyDescent="0.3">
      <c r="J91" s="7"/>
    </row>
    <row r="92" spans="10:10" x14ac:dyDescent="0.3">
      <c r="J92" s="7"/>
    </row>
    <row r="93" spans="10:10" x14ac:dyDescent="0.3">
      <c r="J93" s="7"/>
    </row>
    <row r="94" spans="10:10" x14ac:dyDescent="0.3">
      <c r="J94" s="7"/>
    </row>
    <row r="95" spans="10:10" x14ac:dyDescent="0.3">
      <c r="J95" s="7"/>
    </row>
    <row r="96" spans="10:10" x14ac:dyDescent="0.3">
      <c r="J96" s="7"/>
    </row>
    <row r="97" spans="10:10" x14ac:dyDescent="0.3">
      <c r="J97" s="7"/>
    </row>
    <row r="98" spans="10:10" x14ac:dyDescent="0.3">
      <c r="J98" s="7"/>
    </row>
  </sheetData>
  <conditionalFormatting sqref="AD8:AD18">
    <cfRule type="dataBar" priority="9">
      <dataBar>
        <cfvo type="num" val="$AA$10"/>
        <cfvo type="num" val="$AA$9"/>
        <color rgb="FF63C384"/>
      </dataBar>
      <extLst>
        <ext xmlns:x14="http://schemas.microsoft.com/office/spreadsheetml/2009/9/main" uri="{B025F937-C7B1-47D3-B67F-A62EFF666E3E}">
          <x14:id>{509872A0-A649-4007-8598-B9DBA98FD83D}</x14:id>
        </ext>
      </extLst>
    </cfRule>
  </conditionalFormatting>
  <conditionalFormatting sqref="AE8:AE17">
    <cfRule type="dataBar" priority="10">
      <dataBar>
        <cfvo type="num" val="$AA$10"/>
        <cfvo type="num" val="$AA$9"/>
        <color rgb="FFFFB628"/>
      </dataBar>
      <extLst>
        <ext xmlns:x14="http://schemas.microsoft.com/office/spreadsheetml/2009/9/main" uri="{B025F937-C7B1-47D3-B67F-A62EFF666E3E}">
          <x14:id>{DE51D0EB-6311-4780-89DE-95EE228D2AEC}</x14:id>
        </ext>
      </extLst>
    </cfRule>
  </conditionalFormatting>
  <conditionalFormatting sqref="AF8:AF17">
    <cfRule type="dataBar" priority="11">
      <dataBar>
        <cfvo type="num" val="$AA$10"/>
        <cfvo type="num" val="$AA$9"/>
        <color rgb="FFD6007B"/>
      </dataBar>
      <extLst>
        <ext xmlns:x14="http://schemas.microsoft.com/office/spreadsheetml/2009/9/main" uri="{B025F937-C7B1-47D3-B67F-A62EFF666E3E}">
          <x14:id>{7508AD06-1D0D-44CB-8F62-E4AEBD821256}</x14:id>
        </ext>
      </extLst>
    </cfRule>
  </conditionalFormatting>
  <conditionalFormatting sqref="AG8:AG17">
    <cfRule type="dataBar" priority="12">
      <dataBar>
        <cfvo type="num" val="$AA$10"/>
        <cfvo type="num" val="$AA$9"/>
        <color rgb="FF008AEF"/>
      </dataBar>
      <extLst>
        <ext xmlns:x14="http://schemas.microsoft.com/office/spreadsheetml/2009/9/main" uri="{B025F937-C7B1-47D3-B67F-A62EFF666E3E}">
          <x14:id>{CF07725D-D577-46D9-A339-7042A2FB2B0D}</x14:id>
        </ext>
      </extLst>
    </cfRule>
  </conditionalFormatting>
  <dataValidations disablePrompts="1" count="1">
    <dataValidation type="date" operator="greaterThanOrEqual" allowBlank="1" showInputMessage="1" showErrorMessage="1" sqref="E7" xr:uid="{D21961E9-7550-4AC0-90AF-C6A962DCED33}">
      <formula1>$D$7</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509872A0-A649-4007-8598-B9DBA98FD83D}">
            <x14:dataBar minLength="0" maxLength="100" border="1" negativeBarBorderColorSameAsPositive="0">
              <x14:cfvo type="num">
                <xm:f>$AA$10</xm:f>
              </x14:cfvo>
              <x14:cfvo type="num">
                <xm:f>$AA$9</xm:f>
              </x14:cfvo>
              <x14:borderColor rgb="FF63C384"/>
              <x14:negativeFillColor rgb="FFFF0000"/>
              <x14:negativeBorderColor rgb="FFFF0000"/>
              <x14:axisColor rgb="FF000000"/>
            </x14:dataBar>
          </x14:cfRule>
          <xm:sqref>AD8:AD18</xm:sqref>
        </x14:conditionalFormatting>
        <x14:conditionalFormatting xmlns:xm="http://schemas.microsoft.com/office/excel/2006/main">
          <x14:cfRule type="dataBar" id="{DE51D0EB-6311-4780-89DE-95EE228D2AEC}">
            <x14:dataBar minLength="0" maxLength="100" border="1" negativeBarBorderColorSameAsPositive="0">
              <x14:cfvo type="num">
                <xm:f>$AA$10</xm:f>
              </x14:cfvo>
              <x14:cfvo type="num">
                <xm:f>$AA$9</xm:f>
              </x14:cfvo>
              <x14:borderColor rgb="FFFFB628"/>
              <x14:negativeFillColor rgb="FFFF0000"/>
              <x14:negativeBorderColor rgb="FFFF0000"/>
              <x14:axisColor rgb="FF000000"/>
            </x14:dataBar>
          </x14:cfRule>
          <xm:sqref>AE8:AE17</xm:sqref>
        </x14:conditionalFormatting>
        <x14:conditionalFormatting xmlns:xm="http://schemas.microsoft.com/office/excel/2006/main">
          <x14:cfRule type="dataBar" id="{7508AD06-1D0D-44CB-8F62-E4AEBD821256}">
            <x14:dataBar minLength="0" maxLength="100" border="1" negativeBarBorderColorSameAsPositive="0">
              <x14:cfvo type="num">
                <xm:f>$AA$10</xm:f>
              </x14:cfvo>
              <x14:cfvo type="num">
                <xm:f>$AA$9</xm:f>
              </x14:cfvo>
              <x14:borderColor rgb="FFD6007B"/>
              <x14:negativeFillColor rgb="FFFF0000"/>
              <x14:negativeBorderColor rgb="FFFF0000"/>
              <x14:axisColor rgb="FF000000"/>
            </x14:dataBar>
          </x14:cfRule>
          <xm:sqref>AF8:AF17</xm:sqref>
        </x14:conditionalFormatting>
        <x14:conditionalFormatting xmlns:xm="http://schemas.microsoft.com/office/excel/2006/main">
          <x14:cfRule type="dataBar" id="{CF07725D-D577-46D9-A339-7042A2FB2B0D}">
            <x14:dataBar minLength="0" maxLength="100" border="1" negativeBarBorderColorSameAsPositive="0">
              <x14:cfvo type="num">
                <xm:f>$AA$10</xm:f>
              </x14:cfvo>
              <x14:cfvo type="num">
                <xm:f>$AA$9</xm:f>
              </x14:cfvo>
              <x14:borderColor rgb="FF008AEF"/>
              <x14:negativeFillColor rgb="FFFF0000"/>
              <x14:negativeBorderColor rgb="FFFF0000"/>
              <x14:axisColor rgb="FF000000"/>
            </x14:dataBar>
          </x14:cfRule>
          <xm:sqref>AG8:AG17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3C29F-0750-4B7E-B7DA-A720646DC409}">
  <dimension ref="A3:D39"/>
  <sheetViews>
    <sheetView topLeftCell="A15" workbookViewId="0">
      <selection activeCell="B5" sqref="B5"/>
    </sheetView>
  </sheetViews>
  <sheetFormatPr defaultRowHeight="14.4" x14ac:dyDescent="0.3"/>
  <cols>
    <col min="1" max="1" width="37.88671875" customWidth="1"/>
    <col min="2" max="2" width="40.6640625" customWidth="1"/>
    <col min="3" max="3" width="36.88671875" customWidth="1"/>
    <col min="4" max="4" width="34" customWidth="1"/>
  </cols>
  <sheetData>
    <row r="3" spans="1:4" x14ac:dyDescent="0.3">
      <c r="A3" s="32"/>
      <c r="B3" s="29" t="s">
        <v>285</v>
      </c>
      <c r="C3" s="29" t="s">
        <v>286</v>
      </c>
      <c r="D3" s="29" t="s">
        <v>284</v>
      </c>
    </row>
    <row r="4" spans="1:4" ht="72" customHeight="1" x14ac:dyDescent="0.3">
      <c r="A4" s="36" t="s">
        <v>32</v>
      </c>
      <c r="B4" s="32" t="s">
        <v>287</v>
      </c>
      <c r="C4" s="33" t="s">
        <v>297</v>
      </c>
      <c r="D4" s="32" t="s">
        <v>304</v>
      </c>
    </row>
    <row r="5" spans="1:4" ht="57.6" customHeight="1" x14ac:dyDescent="0.3">
      <c r="A5" s="38"/>
      <c r="B5" s="32" t="s">
        <v>288</v>
      </c>
      <c r="C5" s="33" t="s">
        <v>298</v>
      </c>
      <c r="D5" s="32" t="s">
        <v>305</v>
      </c>
    </row>
    <row r="6" spans="1:4" ht="86.4" customHeight="1" x14ac:dyDescent="0.3">
      <c r="A6" s="38"/>
      <c r="B6" s="32" t="s">
        <v>289</v>
      </c>
      <c r="C6" s="33" t="s">
        <v>299</v>
      </c>
      <c r="D6" s="32" t="s">
        <v>306</v>
      </c>
    </row>
    <row r="7" spans="1:4" ht="72" customHeight="1" x14ac:dyDescent="0.3">
      <c r="A7" s="38"/>
      <c r="B7" s="32" t="s">
        <v>290</v>
      </c>
      <c r="C7" s="33" t="s">
        <v>300</v>
      </c>
      <c r="D7" s="32" t="s">
        <v>307</v>
      </c>
    </row>
    <row r="8" spans="1:4" ht="72" customHeight="1" x14ac:dyDescent="0.3">
      <c r="A8" s="38"/>
      <c r="B8" s="32" t="s">
        <v>291</v>
      </c>
      <c r="C8" s="33" t="s">
        <v>301</v>
      </c>
      <c r="D8" s="32"/>
    </row>
    <row r="9" spans="1:4" ht="72" customHeight="1" x14ac:dyDescent="0.3">
      <c r="A9" s="38"/>
      <c r="B9" s="32" t="s">
        <v>292</v>
      </c>
      <c r="C9" s="33" t="s">
        <v>302</v>
      </c>
      <c r="D9" s="32"/>
    </row>
    <row r="10" spans="1:4" ht="72" customHeight="1" x14ac:dyDescent="0.3">
      <c r="A10" s="38"/>
      <c r="B10" s="32" t="s">
        <v>293</v>
      </c>
      <c r="C10" s="33" t="s">
        <v>303</v>
      </c>
      <c r="D10" s="32"/>
    </row>
    <row r="11" spans="1:4" ht="72" customHeight="1" x14ac:dyDescent="0.3">
      <c r="A11" s="38"/>
      <c r="B11" s="32" t="s">
        <v>294</v>
      </c>
      <c r="C11" s="32"/>
      <c r="D11" s="32"/>
    </row>
    <row r="12" spans="1:4" ht="86.4" customHeight="1" x14ac:dyDescent="0.3">
      <c r="A12" s="38"/>
      <c r="B12" s="32" t="s">
        <v>295</v>
      </c>
      <c r="C12" s="32"/>
      <c r="D12" s="32"/>
    </row>
    <row r="13" spans="1:4" ht="72" customHeight="1" x14ac:dyDescent="0.3">
      <c r="A13" s="38"/>
      <c r="B13" s="32" t="s">
        <v>296</v>
      </c>
      <c r="C13" s="32"/>
      <c r="D13" s="32"/>
    </row>
    <row r="14" spans="1:4" ht="57.6" customHeight="1" x14ac:dyDescent="0.3">
      <c r="A14" s="37"/>
      <c r="B14" s="32"/>
      <c r="C14" s="32"/>
      <c r="D14" s="32"/>
    </row>
    <row r="15" spans="1:4" ht="57.6" x14ac:dyDescent="0.3">
      <c r="A15" s="36" t="s">
        <v>6</v>
      </c>
      <c r="B15" s="32"/>
      <c r="C15" s="32" t="s">
        <v>308</v>
      </c>
      <c r="D15" s="32" t="s">
        <v>311</v>
      </c>
    </row>
    <row r="16" spans="1:4" ht="43.2" x14ac:dyDescent="0.3">
      <c r="A16" s="38"/>
      <c r="B16" s="32"/>
      <c r="C16" s="32" t="s">
        <v>309</v>
      </c>
      <c r="D16" s="32"/>
    </row>
    <row r="17" spans="1:4" ht="43.2" x14ac:dyDescent="0.3">
      <c r="A17" s="37"/>
      <c r="B17" s="32"/>
      <c r="C17" s="32" t="s">
        <v>310</v>
      </c>
      <c r="D17" s="32"/>
    </row>
    <row r="18" spans="1:4" ht="57.6" x14ac:dyDescent="0.3">
      <c r="A18" s="36" t="s">
        <v>92</v>
      </c>
      <c r="B18" s="32" t="s">
        <v>312</v>
      </c>
      <c r="C18" s="32" t="s">
        <v>317</v>
      </c>
      <c r="D18" s="32" t="s">
        <v>326</v>
      </c>
    </row>
    <row r="19" spans="1:4" ht="43.2" x14ac:dyDescent="0.3">
      <c r="A19" s="38"/>
      <c r="B19" s="32" t="s">
        <v>313</v>
      </c>
      <c r="C19" s="32" t="s">
        <v>318</v>
      </c>
      <c r="D19" s="32" t="s">
        <v>327</v>
      </c>
    </row>
    <row r="20" spans="1:4" ht="43.2" x14ac:dyDescent="0.3">
      <c r="A20" s="38"/>
      <c r="B20" s="32" t="s">
        <v>314</v>
      </c>
      <c r="C20" s="32" t="s">
        <v>319</v>
      </c>
      <c r="D20" s="32" t="s">
        <v>328</v>
      </c>
    </row>
    <row r="21" spans="1:4" ht="28.8" x14ac:dyDescent="0.3">
      <c r="A21" s="38"/>
      <c r="B21" s="32" t="s">
        <v>315</v>
      </c>
      <c r="C21" s="32" t="s">
        <v>320</v>
      </c>
      <c r="D21" s="32"/>
    </row>
    <row r="22" spans="1:4" ht="57.6" x14ac:dyDescent="0.3">
      <c r="A22" s="38"/>
      <c r="B22" s="32" t="s">
        <v>316</v>
      </c>
      <c r="C22" s="32" t="s">
        <v>321</v>
      </c>
      <c r="D22" s="32"/>
    </row>
    <row r="23" spans="1:4" ht="28.8" x14ac:dyDescent="0.3">
      <c r="A23" s="38"/>
      <c r="B23" s="32"/>
      <c r="C23" s="32" t="s">
        <v>322</v>
      </c>
      <c r="D23" s="32"/>
    </row>
    <row r="24" spans="1:4" ht="28.8" x14ac:dyDescent="0.3">
      <c r="A24" s="38"/>
      <c r="B24" s="32"/>
      <c r="C24" s="32" t="s">
        <v>323</v>
      </c>
      <c r="D24" s="32"/>
    </row>
    <row r="25" spans="1:4" ht="28.8" x14ac:dyDescent="0.3">
      <c r="A25" s="38"/>
      <c r="B25" s="32"/>
      <c r="C25" s="32" t="s">
        <v>324</v>
      </c>
      <c r="D25" s="32"/>
    </row>
    <row r="26" spans="1:4" ht="43.2" x14ac:dyDescent="0.3">
      <c r="A26" s="37"/>
      <c r="B26" s="32"/>
      <c r="C26" s="32" t="s">
        <v>325</v>
      </c>
      <c r="D26" s="32"/>
    </row>
    <row r="27" spans="1:4" ht="43.2" x14ac:dyDescent="0.3">
      <c r="A27" s="36" t="s">
        <v>13</v>
      </c>
      <c r="B27" s="32" t="s">
        <v>329</v>
      </c>
      <c r="C27" s="32" t="s">
        <v>333</v>
      </c>
      <c r="D27" s="32" t="s">
        <v>341</v>
      </c>
    </row>
    <row r="28" spans="1:4" ht="43.2" x14ac:dyDescent="0.3">
      <c r="A28" s="39"/>
      <c r="B28" s="32" t="s">
        <v>330</v>
      </c>
      <c r="C28" s="32" t="s">
        <v>334</v>
      </c>
      <c r="D28" s="32" t="s">
        <v>342</v>
      </c>
    </row>
    <row r="29" spans="1:4" ht="43.2" x14ac:dyDescent="0.3">
      <c r="A29" s="39"/>
      <c r="B29" s="32" t="s">
        <v>331</v>
      </c>
      <c r="C29" s="32" t="s">
        <v>335</v>
      </c>
      <c r="D29" s="32"/>
    </row>
    <row r="30" spans="1:4" ht="28.8" x14ac:dyDescent="0.3">
      <c r="A30" s="39"/>
      <c r="B30" s="32" t="s">
        <v>332</v>
      </c>
      <c r="C30" s="32" t="s">
        <v>336</v>
      </c>
      <c r="D30" s="32"/>
    </row>
    <row r="31" spans="1:4" ht="43.2" x14ac:dyDescent="0.3">
      <c r="A31" s="39"/>
      <c r="B31" s="32"/>
      <c r="C31" s="32" t="s">
        <v>337</v>
      </c>
      <c r="D31" s="32"/>
    </row>
    <row r="32" spans="1:4" ht="43.2" x14ac:dyDescent="0.3">
      <c r="A32" s="39"/>
      <c r="B32" s="32"/>
      <c r="C32" s="32" t="s">
        <v>338</v>
      </c>
      <c r="D32" s="32"/>
    </row>
    <row r="33" spans="1:4" ht="28.8" x14ac:dyDescent="0.3">
      <c r="A33" s="39"/>
      <c r="B33" s="32"/>
      <c r="C33" s="32" t="s">
        <v>339</v>
      </c>
      <c r="D33" s="32"/>
    </row>
    <row r="34" spans="1:4" ht="28.8" x14ac:dyDescent="0.3">
      <c r="A34" s="40"/>
      <c r="B34" s="32"/>
      <c r="C34" s="32" t="s">
        <v>340</v>
      </c>
      <c r="D34" s="32"/>
    </row>
    <row r="35" spans="1:4" ht="43.2" x14ac:dyDescent="0.3">
      <c r="A35" s="41" t="s">
        <v>90</v>
      </c>
      <c r="B35" s="34"/>
      <c r="C35" s="32" t="s">
        <v>343</v>
      </c>
      <c r="D35" s="34"/>
    </row>
    <row r="36" spans="1:4" ht="43.2" x14ac:dyDescent="0.3">
      <c r="A36" s="42"/>
      <c r="B36" s="34"/>
      <c r="C36" s="32" t="s">
        <v>344</v>
      </c>
      <c r="D36" s="34"/>
    </row>
    <row r="37" spans="1:4" ht="57.6" x14ac:dyDescent="0.3">
      <c r="A37" s="43"/>
      <c r="B37" s="34"/>
      <c r="C37" s="32" t="s">
        <v>345</v>
      </c>
      <c r="D37" s="34"/>
    </row>
    <row r="38" spans="1:4" ht="43.2" x14ac:dyDescent="0.3">
      <c r="A38" s="36" t="s">
        <v>91</v>
      </c>
      <c r="B38" s="32" t="s">
        <v>348</v>
      </c>
      <c r="C38" s="32" t="s">
        <v>346</v>
      </c>
      <c r="D38" s="32"/>
    </row>
    <row r="39" spans="1:4" ht="43.2" x14ac:dyDescent="0.3">
      <c r="A39" s="37"/>
      <c r="B39" s="32"/>
      <c r="C39" s="32" t="s">
        <v>347</v>
      </c>
      <c r="D39" s="32"/>
    </row>
  </sheetData>
  <mergeCells count="6">
    <mergeCell ref="A38:A39"/>
    <mergeCell ref="A4:A14"/>
    <mergeCell ref="A15:A17"/>
    <mergeCell ref="A18:A26"/>
    <mergeCell ref="A27:A34"/>
    <mergeCell ref="A35:A3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F1B2E-E9C4-48D3-83D3-C908C024BF66}">
  <dimension ref="A1:R212"/>
  <sheetViews>
    <sheetView zoomScale="90" workbookViewId="0">
      <selection activeCell="F17" sqref="F17"/>
    </sheetView>
  </sheetViews>
  <sheetFormatPr defaultRowHeight="14.4" x14ac:dyDescent="0.3"/>
  <cols>
    <col min="1" max="1" width="21.33203125" customWidth="1"/>
    <col min="2" max="2" width="15.44140625" style="7" customWidth="1"/>
    <col min="3" max="3" width="15.21875" customWidth="1"/>
    <col min="4" max="4" width="16.5546875" customWidth="1"/>
    <col min="6" max="6" width="9.44140625" customWidth="1"/>
    <col min="12" max="12" width="22.21875" customWidth="1"/>
    <col min="13" max="13" width="13.44140625" customWidth="1"/>
    <col min="14" max="14" width="11.44140625" customWidth="1"/>
    <col min="15" max="15" width="17.88671875" customWidth="1"/>
    <col min="16" max="16" width="28" customWidth="1"/>
    <col min="17" max="17" width="17.44140625" customWidth="1"/>
    <col min="18" max="18" width="15.44140625" customWidth="1"/>
  </cols>
  <sheetData>
    <row r="1" spans="1:18" x14ac:dyDescent="0.3">
      <c r="B1"/>
    </row>
    <row r="2" spans="1:18" x14ac:dyDescent="0.3">
      <c r="A2" s="52" t="s">
        <v>112</v>
      </c>
      <c r="B2" s="52" t="s">
        <v>1</v>
      </c>
      <c r="C2" s="52" t="s">
        <v>265</v>
      </c>
      <c r="D2" s="52" t="s">
        <v>266</v>
      </c>
      <c r="E2" s="52" t="s">
        <v>113</v>
      </c>
      <c r="F2" s="52" t="s">
        <v>114</v>
      </c>
      <c r="G2" s="52" t="s">
        <v>115</v>
      </c>
      <c r="H2" s="52" t="s">
        <v>116</v>
      </c>
      <c r="L2" t="s">
        <v>32</v>
      </c>
      <c r="M2" t="s">
        <v>6</v>
      </c>
      <c r="N2" t="s">
        <v>90</v>
      </c>
      <c r="O2" t="s">
        <v>91</v>
      </c>
      <c r="P2" t="s">
        <v>13</v>
      </c>
      <c r="Q2" t="s">
        <v>92</v>
      </c>
      <c r="R2" t="s">
        <v>79</v>
      </c>
    </row>
    <row r="3" spans="1:18" x14ac:dyDescent="0.3">
      <c r="A3" t="s">
        <v>119</v>
      </c>
      <c r="B3" s="15">
        <v>43805</v>
      </c>
      <c r="C3" s="15">
        <v>43466</v>
      </c>
      <c r="D3" s="15">
        <v>43800</v>
      </c>
      <c r="E3">
        <v>1</v>
      </c>
      <c r="F3">
        <v>0</v>
      </c>
      <c r="G3">
        <v>0</v>
      </c>
      <c r="H3">
        <v>1</v>
      </c>
      <c r="L3" t="s">
        <v>117</v>
      </c>
      <c r="M3" t="s">
        <v>156</v>
      </c>
      <c r="N3" t="s">
        <v>126</v>
      </c>
      <c r="O3" t="s">
        <v>253</v>
      </c>
      <c r="P3" t="s">
        <v>198</v>
      </c>
      <c r="Q3" t="s">
        <v>173</v>
      </c>
      <c r="R3" t="s">
        <v>244</v>
      </c>
    </row>
    <row r="4" spans="1:18" x14ac:dyDescent="0.3">
      <c r="A4" t="s">
        <v>117</v>
      </c>
      <c r="B4" s="15">
        <v>43805</v>
      </c>
      <c r="C4" s="15">
        <v>43466</v>
      </c>
      <c r="D4" s="15">
        <v>43800</v>
      </c>
      <c r="E4">
        <v>0</v>
      </c>
      <c r="F4">
        <v>0</v>
      </c>
      <c r="G4">
        <v>1</v>
      </c>
      <c r="H4">
        <v>1</v>
      </c>
      <c r="L4" t="s">
        <v>203</v>
      </c>
      <c r="M4" t="s">
        <v>506</v>
      </c>
      <c r="N4" t="s">
        <v>199</v>
      </c>
      <c r="O4" t="s">
        <v>122</v>
      </c>
      <c r="P4" t="s">
        <v>507</v>
      </c>
      <c r="Q4" t="s">
        <v>174</v>
      </c>
      <c r="R4" t="s">
        <v>177</v>
      </c>
    </row>
    <row r="5" spans="1:18" x14ac:dyDescent="0.3">
      <c r="A5" t="s">
        <v>118</v>
      </c>
      <c r="B5" s="15">
        <v>43805</v>
      </c>
      <c r="C5" s="15">
        <v>43466</v>
      </c>
      <c r="D5" s="15">
        <v>43800</v>
      </c>
      <c r="E5">
        <v>0</v>
      </c>
      <c r="F5">
        <v>0</v>
      </c>
      <c r="G5">
        <v>1</v>
      </c>
      <c r="H5">
        <v>1</v>
      </c>
      <c r="L5" t="s">
        <v>138</v>
      </c>
      <c r="M5" t="s">
        <v>489</v>
      </c>
      <c r="N5" t="s">
        <v>151</v>
      </c>
      <c r="O5" t="s">
        <v>123</v>
      </c>
      <c r="P5" t="s">
        <v>194</v>
      </c>
      <c r="Q5" t="s">
        <v>485</v>
      </c>
      <c r="R5" t="s">
        <v>190</v>
      </c>
    </row>
    <row r="6" spans="1:18" x14ac:dyDescent="0.3">
      <c r="A6" t="s">
        <v>120</v>
      </c>
      <c r="B6" s="15">
        <v>43805</v>
      </c>
      <c r="C6" s="15">
        <v>43466</v>
      </c>
      <c r="D6" s="15">
        <v>43800</v>
      </c>
      <c r="E6">
        <v>1</v>
      </c>
      <c r="F6">
        <v>0</v>
      </c>
      <c r="G6">
        <v>0</v>
      </c>
      <c r="H6">
        <v>1</v>
      </c>
      <c r="L6" t="s">
        <v>222</v>
      </c>
      <c r="M6" t="s">
        <v>189</v>
      </c>
      <c r="N6" t="s">
        <v>235</v>
      </c>
      <c r="O6" t="s">
        <v>254</v>
      </c>
      <c r="P6" t="s">
        <v>508</v>
      </c>
      <c r="Q6" t="s">
        <v>243</v>
      </c>
      <c r="R6" t="s">
        <v>214</v>
      </c>
    </row>
    <row r="7" spans="1:18" x14ac:dyDescent="0.3">
      <c r="A7" t="s">
        <v>121</v>
      </c>
      <c r="B7" s="15">
        <v>43805</v>
      </c>
      <c r="C7" s="15">
        <v>43466</v>
      </c>
      <c r="D7" s="15">
        <v>43800</v>
      </c>
      <c r="E7">
        <v>1</v>
      </c>
      <c r="F7">
        <v>0</v>
      </c>
      <c r="G7">
        <v>0</v>
      </c>
      <c r="H7">
        <v>1</v>
      </c>
      <c r="L7" t="s">
        <v>486</v>
      </c>
      <c r="M7" t="s">
        <v>212</v>
      </c>
      <c r="N7" t="s">
        <v>236</v>
      </c>
      <c r="O7" t="s">
        <v>509</v>
      </c>
      <c r="P7" t="s">
        <v>157</v>
      </c>
      <c r="R7" t="s">
        <v>184</v>
      </c>
    </row>
    <row r="8" spans="1:18" x14ac:dyDescent="0.3">
      <c r="A8" t="s">
        <v>122</v>
      </c>
      <c r="B8" s="15">
        <v>43805</v>
      </c>
      <c r="C8" s="15">
        <v>43466</v>
      </c>
      <c r="D8" s="15">
        <v>43800</v>
      </c>
      <c r="E8">
        <v>1</v>
      </c>
      <c r="F8">
        <v>0</v>
      </c>
      <c r="G8">
        <v>0</v>
      </c>
      <c r="H8">
        <v>1</v>
      </c>
      <c r="L8" t="s">
        <v>153</v>
      </c>
      <c r="M8" t="s">
        <v>490</v>
      </c>
      <c r="N8" t="s">
        <v>209</v>
      </c>
      <c r="O8" t="s">
        <v>228</v>
      </c>
      <c r="P8" t="s">
        <v>161</v>
      </c>
      <c r="R8" t="s">
        <v>175</v>
      </c>
    </row>
    <row r="9" spans="1:18" x14ac:dyDescent="0.3">
      <c r="A9" t="s">
        <v>123</v>
      </c>
      <c r="B9" s="15">
        <v>43805</v>
      </c>
      <c r="C9" s="15">
        <v>43466</v>
      </c>
      <c r="D9" s="15">
        <v>43800</v>
      </c>
      <c r="E9">
        <v>1</v>
      </c>
      <c r="F9">
        <v>0</v>
      </c>
      <c r="G9">
        <v>0</v>
      </c>
      <c r="H9">
        <v>1</v>
      </c>
      <c r="L9" t="s">
        <v>248</v>
      </c>
      <c r="M9" t="s">
        <v>492</v>
      </c>
      <c r="N9" t="s">
        <v>131</v>
      </c>
      <c r="O9" t="s">
        <v>494</v>
      </c>
      <c r="R9" t="s">
        <v>172</v>
      </c>
    </row>
    <row r="10" spans="1:18" x14ac:dyDescent="0.3">
      <c r="A10" t="s">
        <v>129</v>
      </c>
      <c r="B10" s="15">
        <v>44171</v>
      </c>
      <c r="C10" s="15">
        <v>43831</v>
      </c>
      <c r="D10" s="15">
        <v>44166</v>
      </c>
      <c r="E10">
        <v>1</v>
      </c>
      <c r="F10">
        <v>0</v>
      </c>
      <c r="G10">
        <v>0</v>
      </c>
      <c r="H10">
        <v>1</v>
      </c>
      <c r="L10" t="s">
        <v>502</v>
      </c>
      <c r="M10" t="s">
        <v>136</v>
      </c>
      <c r="N10" t="s">
        <v>130</v>
      </c>
      <c r="O10" t="s">
        <v>187</v>
      </c>
      <c r="R10" t="s">
        <v>510</v>
      </c>
    </row>
    <row r="11" spans="1:18" x14ac:dyDescent="0.3">
      <c r="A11" t="s">
        <v>131</v>
      </c>
      <c r="B11" s="15">
        <v>44171</v>
      </c>
      <c r="C11" s="15">
        <v>43831</v>
      </c>
      <c r="D11" s="15">
        <v>44166</v>
      </c>
      <c r="E11">
        <v>0</v>
      </c>
      <c r="F11">
        <v>0</v>
      </c>
      <c r="G11">
        <v>1</v>
      </c>
      <c r="H11">
        <v>1</v>
      </c>
      <c r="L11" t="s">
        <v>245</v>
      </c>
      <c r="M11" t="s">
        <v>193</v>
      </c>
      <c r="N11" t="s">
        <v>484</v>
      </c>
      <c r="O11" t="s">
        <v>166</v>
      </c>
      <c r="R11" t="s">
        <v>511</v>
      </c>
    </row>
    <row r="12" spans="1:18" x14ac:dyDescent="0.3">
      <c r="A12" t="s">
        <v>126</v>
      </c>
      <c r="B12" s="15">
        <v>44171</v>
      </c>
      <c r="C12" s="15">
        <v>43831</v>
      </c>
      <c r="D12" s="15">
        <v>44166</v>
      </c>
      <c r="E12">
        <v>1</v>
      </c>
      <c r="F12">
        <v>0</v>
      </c>
      <c r="G12">
        <v>0</v>
      </c>
      <c r="H12">
        <v>1</v>
      </c>
      <c r="L12" t="s">
        <v>493</v>
      </c>
      <c r="M12" t="s">
        <v>181</v>
      </c>
      <c r="N12" t="s">
        <v>180</v>
      </c>
      <c r="O12" t="s">
        <v>500</v>
      </c>
      <c r="R12" t="s">
        <v>202</v>
      </c>
    </row>
    <row r="13" spans="1:18" x14ac:dyDescent="0.3">
      <c r="A13" t="s">
        <v>128</v>
      </c>
      <c r="B13" s="15">
        <v>44171</v>
      </c>
      <c r="C13" s="15">
        <v>43831</v>
      </c>
      <c r="D13" s="15">
        <v>44166</v>
      </c>
      <c r="E13">
        <v>1</v>
      </c>
      <c r="F13">
        <v>0</v>
      </c>
      <c r="G13">
        <v>0</v>
      </c>
      <c r="H13">
        <v>1</v>
      </c>
      <c r="L13" t="s">
        <v>240</v>
      </c>
      <c r="N13" t="s">
        <v>179</v>
      </c>
      <c r="O13" t="s">
        <v>125</v>
      </c>
      <c r="R13" t="s">
        <v>118</v>
      </c>
    </row>
    <row r="14" spans="1:18" x14ac:dyDescent="0.3">
      <c r="A14" t="s">
        <v>125</v>
      </c>
      <c r="B14" s="15">
        <v>44171</v>
      </c>
      <c r="C14" s="15">
        <v>43831</v>
      </c>
      <c r="D14" s="15">
        <v>44166</v>
      </c>
      <c r="E14">
        <v>1</v>
      </c>
      <c r="F14">
        <v>0</v>
      </c>
      <c r="G14">
        <v>0</v>
      </c>
      <c r="H14">
        <v>1</v>
      </c>
      <c r="L14" t="s">
        <v>516</v>
      </c>
      <c r="N14" t="s">
        <v>196</v>
      </c>
      <c r="O14" t="s">
        <v>127</v>
      </c>
      <c r="R14" t="s">
        <v>204</v>
      </c>
    </row>
    <row r="15" spans="1:18" x14ac:dyDescent="0.3">
      <c r="A15" t="s">
        <v>127</v>
      </c>
      <c r="B15" s="15">
        <v>44171</v>
      </c>
      <c r="C15" s="15">
        <v>43831</v>
      </c>
      <c r="D15" s="15">
        <v>44166</v>
      </c>
      <c r="E15">
        <v>1</v>
      </c>
      <c r="F15">
        <v>0</v>
      </c>
      <c r="G15">
        <v>0</v>
      </c>
      <c r="H15">
        <v>1</v>
      </c>
      <c r="L15" t="s">
        <v>178</v>
      </c>
      <c r="N15" t="s">
        <v>155</v>
      </c>
      <c r="O15" t="s">
        <v>233</v>
      </c>
      <c r="R15" t="s">
        <v>119</v>
      </c>
    </row>
    <row r="16" spans="1:18" x14ac:dyDescent="0.3">
      <c r="A16" t="s">
        <v>124</v>
      </c>
      <c r="B16" s="15">
        <v>44171</v>
      </c>
      <c r="C16" s="15">
        <v>43831</v>
      </c>
      <c r="D16" s="15">
        <v>44166</v>
      </c>
      <c r="E16">
        <v>1</v>
      </c>
      <c r="F16">
        <v>0</v>
      </c>
      <c r="G16">
        <v>0</v>
      </c>
      <c r="H16">
        <v>1</v>
      </c>
      <c r="L16" t="s">
        <v>201</v>
      </c>
      <c r="N16" t="s">
        <v>512</v>
      </c>
      <c r="O16" t="s">
        <v>219</v>
      </c>
      <c r="R16" t="s">
        <v>517</v>
      </c>
    </row>
    <row r="17" spans="1:18" x14ac:dyDescent="0.3">
      <c r="A17" t="s">
        <v>130</v>
      </c>
      <c r="B17" s="15">
        <v>44171</v>
      </c>
      <c r="C17" s="15">
        <v>43831</v>
      </c>
      <c r="D17" s="15">
        <v>44166</v>
      </c>
      <c r="E17">
        <v>0</v>
      </c>
      <c r="F17">
        <v>0</v>
      </c>
      <c r="G17">
        <v>1</v>
      </c>
      <c r="H17">
        <v>1</v>
      </c>
      <c r="L17" t="s">
        <v>501</v>
      </c>
      <c r="N17" t="s">
        <v>183</v>
      </c>
      <c r="O17" t="s">
        <v>220</v>
      </c>
      <c r="R17" t="s">
        <v>142</v>
      </c>
    </row>
    <row r="18" spans="1:18" x14ac:dyDescent="0.3">
      <c r="A18" t="s">
        <v>146</v>
      </c>
      <c r="B18" s="15">
        <v>44536</v>
      </c>
      <c r="C18" s="15">
        <v>44197</v>
      </c>
      <c r="D18" s="15">
        <v>44531</v>
      </c>
      <c r="E18">
        <v>0</v>
      </c>
      <c r="F18">
        <v>0</v>
      </c>
      <c r="G18">
        <v>1</v>
      </c>
      <c r="H18">
        <v>1</v>
      </c>
      <c r="L18" t="s">
        <v>239</v>
      </c>
      <c r="N18" t="s">
        <v>164</v>
      </c>
      <c r="O18" t="s">
        <v>487</v>
      </c>
      <c r="R18" t="s">
        <v>498</v>
      </c>
    </row>
    <row r="19" spans="1:18" x14ac:dyDescent="0.3">
      <c r="A19" t="s">
        <v>147</v>
      </c>
      <c r="B19" s="15">
        <v>44536</v>
      </c>
      <c r="C19" s="15">
        <v>44197</v>
      </c>
      <c r="D19" s="15">
        <v>44531</v>
      </c>
      <c r="E19">
        <v>1</v>
      </c>
      <c r="F19">
        <v>0</v>
      </c>
      <c r="G19">
        <v>0</v>
      </c>
      <c r="H19">
        <v>1</v>
      </c>
      <c r="L19" t="s">
        <v>223</v>
      </c>
      <c r="N19" t="s">
        <v>491</v>
      </c>
      <c r="O19" t="s">
        <v>213</v>
      </c>
      <c r="R19" t="s">
        <v>499</v>
      </c>
    </row>
    <row r="20" spans="1:18" x14ac:dyDescent="0.3">
      <c r="A20" t="s">
        <v>135</v>
      </c>
      <c r="B20" s="15">
        <v>44536</v>
      </c>
      <c r="C20" s="15">
        <v>44197</v>
      </c>
      <c r="D20" s="15">
        <v>44531</v>
      </c>
      <c r="E20">
        <v>1</v>
      </c>
      <c r="F20">
        <v>0</v>
      </c>
      <c r="G20">
        <v>0</v>
      </c>
      <c r="H20">
        <v>1</v>
      </c>
      <c r="L20" t="s">
        <v>503</v>
      </c>
      <c r="N20" t="s">
        <v>146</v>
      </c>
      <c r="R20" t="s">
        <v>133</v>
      </c>
    </row>
    <row r="21" spans="1:18" x14ac:dyDescent="0.3">
      <c r="A21" t="s">
        <v>141</v>
      </c>
      <c r="B21" s="15">
        <v>44536</v>
      </c>
      <c r="C21" s="15">
        <v>44197</v>
      </c>
      <c r="D21" s="15">
        <v>44531</v>
      </c>
      <c r="E21">
        <v>1</v>
      </c>
      <c r="F21">
        <v>0</v>
      </c>
      <c r="G21">
        <v>1</v>
      </c>
      <c r="H21">
        <v>2</v>
      </c>
      <c r="L21" t="s">
        <v>249</v>
      </c>
      <c r="N21" t="s">
        <v>488</v>
      </c>
      <c r="R21" t="s">
        <v>145</v>
      </c>
    </row>
    <row r="22" spans="1:18" x14ac:dyDescent="0.3">
      <c r="A22" t="s">
        <v>139</v>
      </c>
      <c r="B22" s="15">
        <v>44536</v>
      </c>
      <c r="C22" s="15">
        <v>44197</v>
      </c>
      <c r="D22" s="15">
        <v>44531</v>
      </c>
      <c r="E22">
        <v>0</v>
      </c>
      <c r="F22">
        <v>0</v>
      </c>
      <c r="G22">
        <v>1</v>
      </c>
      <c r="H22">
        <v>1</v>
      </c>
      <c r="L22" t="s">
        <v>200</v>
      </c>
      <c r="R22" t="s">
        <v>206</v>
      </c>
    </row>
    <row r="23" spans="1:18" x14ac:dyDescent="0.3">
      <c r="A23" t="s">
        <v>132</v>
      </c>
      <c r="B23" s="15">
        <v>44536</v>
      </c>
      <c r="C23" s="15">
        <v>44197</v>
      </c>
      <c r="D23" s="15">
        <v>44531</v>
      </c>
      <c r="E23">
        <v>0</v>
      </c>
      <c r="F23">
        <v>0</v>
      </c>
      <c r="G23">
        <v>1</v>
      </c>
      <c r="H23">
        <v>1</v>
      </c>
      <c r="L23" t="s">
        <v>225</v>
      </c>
    </row>
    <row r="24" spans="1:18" x14ac:dyDescent="0.3">
      <c r="A24" t="s">
        <v>138</v>
      </c>
      <c r="B24" s="15">
        <v>44536</v>
      </c>
      <c r="C24" s="15">
        <v>44197</v>
      </c>
      <c r="D24" s="15">
        <v>44531</v>
      </c>
      <c r="E24">
        <v>0</v>
      </c>
      <c r="F24">
        <v>0</v>
      </c>
      <c r="G24">
        <v>1</v>
      </c>
      <c r="H24">
        <v>1</v>
      </c>
      <c r="L24" t="s">
        <v>505</v>
      </c>
    </row>
    <row r="25" spans="1:18" x14ac:dyDescent="0.3">
      <c r="A25" t="s">
        <v>143</v>
      </c>
      <c r="B25" s="15">
        <v>44536</v>
      </c>
      <c r="C25" s="15">
        <v>44197</v>
      </c>
      <c r="D25" s="15">
        <v>44531</v>
      </c>
      <c r="E25">
        <v>0</v>
      </c>
      <c r="F25">
        <v>0</v>
      </c>
      <c r="G25">
        <v>1</v>
      </c>
      <c r="H25">
        <v>1</v>
      </c>
      <c r="L25" t="s">
        <v>229</v>
      </c>
    </row>
    <row r="26" spans="1:18" x14ac:dyDescent="0.3">
      <c r="A26" t="s">
        <v>145</v>
      </c>
      <c r="B26" s="15">
        <v>44536</v>
      </c>
      <c r="C26" s="15">
        <v>44197</v>
      </c>
      <c r="D26" s="15">
        <v>44531</v>
      </c>
      <c r="E26">
        <v>0</v>
      </c>
      <c r="F26">
        <v>0</v>
      </c>
      <c r="G26">
        <v>1</v>
      </c>
      <c r="H26">
        <v>1</v>
      </c>
      <c r="L26" t="s">
        <v>513</v>
      </c>
    </row>
    <row r="27" spans="1:18" x14ac:dyDescent="0.3">
      <c r="A27" t="s">
        <v>122</v>
      </c>
      <c r="B27" s="15">
        <v>44536</v>
      </c>
      <c r="C27" s="15">
        <v>44197</v>
      </c>
      <c r="D27" s="15">
        <v>44531</v>
      </c>
      <c r="E27">
        <v>1</v>
      </c>
      <c r="F27">
        <v>0</v>
      </c>
      <c r="G27">
        <v>0</v>
      </c>
      <c r="H27">
        <v>1</v>
      </c>
      <c r="L27" t="s">
        <v>210</v>
      </c>
    </row>
    <row r="28" spans="1:18" x14ac:dyDescent="0.3">
      <c r="A28" t="s">
        <v>144</v>
      </c>
      <c r="B28" s="15">
        <v>44536</v>
      </c>
      <c r="C28" s="15">
        <v>44197</v>
      </c>
      <c r="D28" s="15">
        <v>44531</v>
      </c>
      <c r="E28">
        <v>0</v>
      </c>
      <c r="F28">
        <v>0</v>
      </c>
      <c r="G28">
        <v>1</v>
      </c>
      <c r="H28">
        <v>1</v>
      </c>
      <c r="L28" t="s">
        <v>250</v>
      </c>
    </row>
    <row r="29" spans="1:18" x14ac:dyDescent="0.3">
      <c r="A29" t="s">
        <v>140</v>
      </c>
      <c r="B29" s="15">
        <v>44536</v>
      </c>
      <c r="C29" s="15">
        <v>44197</v>
      </c>
      <c r="D29" s="15">
        <v>44531</v>
      </c>
      <c r="E29">
        <v>1</v>
      </c>
      <c r="F29">
        <v>0</v>
      </c>
      <c r="G29">
        <v>0</v>
      </c>
      <c r="H29">
        <v>1</v>
      </c>
      <c r="L29" t="s">
        <v>132</v>
      </c>
    </row>
    <row r="30" spans="1:18" x14ac:dyDescent="0.3">
      <c r="A30" t="s">
        <v>137</v>
      </c>
      <c r="B30" s="15">
        <v>44536</v>
      </c>
      <c r="C30" s="15">
        <v>44197</v>
      </c>
      <c r="D30" s="15">
        <v>44531</v>
      </c>
      <c r="E30">
        <v>0</v>
      </c>
      <c r="F30">
        <v>0</v>
      </c>
      <c r="G30">
        <v>1</v>
      </c>
      <c r="H30">
        <v>1</v>
      </c>
      <c r="L30" t="s">
        <v>139</v>
      </c>
    </row>
    <row r="31" spans="1:18" x14ac:dyDescent="0.3">
      <c r="A31" t="s">
        <v>151</v>
      </c>
      <c r="B31" s="15">
        <v>44536</v>
      </c>
      <c r="C31" s="15">
        <v>44197</v>
      </c>
      <c r="D31" s="15">
        <v>44531</v>
      </c>
      <c r="E31">
        <v>1</v>
      </c>
      <c r="F31">
        <v>0</v>
      </c>
      <c r="G31">
        <v>1</v>
      </c>
      <c r="H31">
        <v>2</v>
      </c>
      <c r="L31" t="s">
        <v>144</v>
      </c>
    </row>
    <row r="32" spans="1:18" x14ac:dyDescent="0.3">
      <c r="A32" t="s">
        <v>136</v>
      </c>
      <c r="B32" s="15">
        <v>44536</v>
      </c>
      <c r="C32" s="15">
        <v>44197</v>
      </c>
      <c r="D32" s="15">
        <v>44531</v>
      </c>
      <c r="E32">
        <v>1</v>
      </c>
      <c r="F32">
        <v>0</v>
      </c>
      <c r="G32">
        <v>0</v>
      </c>
      <c r="H32">
        <v>1</v>
      </c>
      <c r="L32" t="s">
        <v>137</v>
      </c>
    </row>
    <row r="33" spans="1:12" x14ac:dyDescent="0.3">
      <c r="A33" t="s">
        <v>148</v>
      </c>
      <c r="B33" s="15">
        <v>44536</v>
      </c>
      <c r="C33" s="15">
        <v>44197</v>
      </c>
      <c r="D33" s="15">
        <v>44531</v>
      </c>
      <c r="E33">
        <v>1</v>
      </c>
      <c r="F33">
        <v>0</v>
      </c>
      <c r="G33">
        <v>0</v>
      </c>
      <c r="H33">
        <v>1</v>
      </c>
      <c r="L33" t="s">
        <v>163</v>
      </c>
    </row>
    <row r="34" spans="1:12" x14ac:dyDescent="0.3">
      <c r="A34" t="s">
        <v>149</v>
      </c>
      <c r="B34" s="15">
        <v>44536</v>
      </c>
      <c r="C34" s="15">
        <v>44197</v>
      </c>
      <c r="D34" s="15">
        <v>44531</v>
      </c>
      <c r="E34">
        <v>1</v>
      </c>
      <c r="F34">
        <v>0</v>
      </c>
      <c r="G34">
        <v>0</v>
      </c>
      <c r="H34">
        <v>1</v>
      </c>
      <c r="L34" t="s">
        <v>215</v>
      </c>
    </row>
    <row r="35" spans="1:12" x14ac:dyDescent="0.3">
      <c r="A35" t="s">
        <v>134</v>
      </c>
      <c r="B35" s="15">
        <v>44536</v>
      </c>
      <c r="C35" s="15">
        <v>44197</v>
      </c>
      <c r="D35" s="15">
        <v>44531</v>
      </c>
      <c r="E35">
        <v>0</v>
      </c>
      <c r="F35">
        <v>0</v>
      </c>
      <c r="G35">
        <v>1</v>
      </c>
      <c r="H35">
        <v>1</v>
      </c>
      <c r="L35" t="s">
        <v>495</v>
      </c>
    </row>
    <row r="36" spans="1:12" x14ac:dyDescent="0.3">
      <c r="A36" t="s">
        <v>142</v>
      </c>
      <c r="B36" s="15">
        <v>44536</v>
      </c>
      <c r="C36" s="15">
        <v>44197</v>
      </c>
      <c r="D36" s="15">
        <v>44531</v>
      </c>
      <c r="E36">
        <v>1</v>
      </c>
      <c r="F36">
        <v>0</v>
      </c>
      <c r="G36">
        <v>0</v>
      </c>
      <c r="H36">
        <v>1</v>
      </c>
      <c r="L36" t="s">
        <v>141</v>
      </c>
    </row>
    <row r="37" spans="1:12" x14ac:dyDescent="0.3">
      <c r="A37" t="s">
        <v>133</v>
      </c>
      <c r="B37" s="15">
        <v>44536</v>
      </c>
      <c r="C37" s="15">
        <v>44197</v>
      </c>
      <c r="D37" s="15">
        <v>44531</v>
      </c>
      <c r="E37">
        <v>0</v>
      </c>
      <c r="F37">
        <v>1</v>
      </c>
      <c r="G37">
        <v>0</v>
      </c>
      <c r="H37">
        <v>1</v>
      </c>
      <c r="L37" t="s">
        <v>224</v>
      </c>
    </row>
    <row r="38" spans="1:12" x14ac:dyDescent="0.3">
      <c r="A38" t="s">
        <v>150</v>
      </c>
      <c r="B38" s="15">
        <v>44536</v>
      </c>
      <c r="C38" s="15">
        <v>44197</v>
      </c>
      <c r="D38" s="15">
        <v>44531</v>
      </c>
      <c r="E38">
        <v>1</v>
      </c>
      <c r="F38">
        <v>0</v>
      </c>
      <c r="G38">
        <v>0</v>
      </c>
      <c r="H38">
        <v>1</v>
      </c>
      <c r="L38" t="s">
        <v>218</v>
      </c>
    </row>
    <row r="39" spans="1:12" x14ac:dyDescent="0.3">
      <c r="A39" t="s">
        <v>166</v>
      </c>
      <c r="B39" s="15">
        <v>44901</v>
      </c>
      <c r="C39" s="15">
        <v>44562</v>
      </c>
      <c r="D39" s="15">
        <v>44896</v>
      </c>
      <c r="E39">
        <v>1</v>
      </c>
      <c r="F39">
        <v>0</v>
      </c>
      <c r="G39">
        <v>0</v>
      </c>
      <c r="H39">
        <v>1</v>
      </c>
      <c r="L39" t="s">
        <v>207</v>
      </c>
    </row>
    <row r="40" spans="1:12" x14ac:dyDescent="0.3">
      <c r="A40" t="s">
        <v>156</v>
      </c>
      <c r="B40" s="15">
        <v>44901</v>
      </c>
      <c r="C40" s="15">
        <v>44562</v>
      </c>
      <c r="D40" s="15">
        <v>44896</v>
      </c>
      <c r="E40">
        <v>1</v>
      </c>
      <c r="F40">
        <v>0</v>
      </c>
      <c r="G40">
        <v>0</v>
      </c>
      <c r="H40">
        <v>1</v>
      </c>
      <c r="L40" t="s">
        <v>226</v>
      </c>
    </row>
    <row r="41" spans="1:12" x14ac:dyDescent="0.3">
      <c r="A41" t="s">
        <v>140</v>
      </c>
      <c r="B41" s="15">
        <v>44901</v>
      </c>
      <c r="C41" s="15">
        <v>44562</v>
      </c>
      <c r="D41" s="15">
        <v>44896</v>
      </c>
      <c r="E41">
        <v>1</v>
      </c>
      <c r="F41">
        <v>0</v>
      </c>
      <c r="G41">
        <v>0</v>
      </c>
      <c r="H41">
        <v>1</v>
      </c>
      <c r="L41" t="s">
        <v>231</v>
      </c>
    </row>
    <row r="42" spans="1:12" x14ac:dyDescent="0.3">
      <c r="A42" t="s">
        <v>151</v>
      </c>
      <c r="B42" s="15">
        <v>44901</v>
      </c>
      <c r="C42" s="15">
        <v>44562</v>
      </c>
      <c r="D42" s="15">
        <v>44896</v>
      </c>
      <c r="E42">
        <v>2</v>
      </c>
      <c r="F42">
        <v>0</v>
      </c>
      <c r="G42">
        <v>0</v>
      </c>
      <c r="H42">
        <v>2</v>
      </c>
      <c r="L42" t="s">
        <v>515</v>
      </c>
    </row>
    <row r="43" spans="1:12" x14ac:dyDescent="0.3">
      <c r="A43" t="s">
        <v>164</v>
      </c>
      <c r="B43" s="15">
        <v>44901</v>
      </c>
      <c r="C43" s="15">
        <v>44562</v>
      </c>
      <c r="D43" s="15">
        <v>44896</v>
      </c>
      <c r="E43">
        <v>2</v>
      </c>
      <c r="F43">
        <v>0</v>
      </c>
      <c r="G43">
        <v>0</v>
      </c>
      <c r="H43">
        <v>2</v>
      </c>
      <c r="L43" t="s">
        <v>497</v>
      </c>
    </row>
    <row r="44" spans="1:12" x14ac:dyDescent="0.3">
      <c r="A44" t="s">
        <v>161</v>
      </c>
      <c r="B44" s="15">
        <v>44901</v>
      </c>
      <c r="C44" s="15">
        <v>44562</v>
      </c>
      <c r="D44" s="15">
        <v>44896</v>
      </c>
      <c r="E44">
        <v>0</v>
      </c>
      <c r="F44">
        <v>1</v>
      </c>
      <c r="G44">
        <v>0</v>
      </c>
      <c r="H44">
        <v>1</v>
      </c>
      <c r="L44" t="s">
        <v>496</v>
      </c>
    </row>
    <row r="45" spans="1:12" x14ac:dyDescent="0.3">
      <c r="A45" t="s">
        <v>123</v>
      </c>
      <c r="B45" s="15">
        <v>44901</v>
      </c>
      <c r="C45" s="15">
        <v>44562</v>
      </c>
      <c r="D45" s="15">
        <v>44896</v>
      </c>
      <c r="E45">
        <v>1</v>
      </c>
      <c r="F45">
        <v>0</v>
      </c>
      <c r="G45">
        <v>0</v>
      </c>
      <c r="H45">
        <v>1</v>
      </c>
      <c r="L45" t="s">
        <v>129</v>
      </c>
    </row>
    <row r="46" spans="1:12" x14ac:dyDescent="0.3">
      <c r="A46" t="s">
        <v>117</v>
      </c>
      <c r="B46" s="15">
        <v>44901</v>
      </c>
      <c r="C46" s="15">
        <v>44562</v>
      </c>
      <c r="D46" s="15">
        <v>44896</v>
      </c>
      <c r="E46">
        <v>2</v>
      </c>
      <c r="F46">
        <v>0</v>
      </c>
      <c r="G46">
        <v>2</v>
      </c>
      <c r="H46">
        <v>4</v>
      </c>
      <c r="L46" t="s">
        <v>150</v>
      </c>
    </row>
    <row r="47" spans="1:12" x14ac:dyDescent="0.3">
      <c r="A47" t="s">
        <v>152</v>
      </c>
      <c r="B47" s="15">
        <v>44901</v>
      </c>
      <c r="C47" s="15">
        <v>44562</v>
      </c>
      <c r="D47" s="15">
        <v>44896</v>
      </c>
      <c r="E47">
        <v>1</v>
      </c>
      <c r="F47">
        <v>0</v>
      </c>
      <c r="G47">
        <v>0</v>
      </c>
      <c r="H47">
        <v>1</v>
      </c>
      <c r="L47" t="s">
        <v>518</v>
      </c>
    </row>
    <row r="48" spans="1:12" x14ac:dyDescent="0.3">
      <c r="A48" t="s">
        <v>155</v>
      </c>
      <c r="B48" s="15">
        <v>44901</v>
      </c>
      <c r="C48" s="15">
        <v>44562</v>
      </c>
      <c r="D48" s="15">
        <v>44896</v>
      </c>
      <c r="E48">
        <v>1</v>
      </c>
      <c r="F48">
        <v>0</v>
      </c>
      <c r="G48">
        <v>0</v>
      </c>
      <c r="H48">
        <v>1</v>
      </c>
      <c r="L48" t="s">
        <v>514</v>
      </c>
    </row>
    <row r="49" spans="1:12" x14ac:dyDescent="0.3">
      <c r="A49" t="s">
        <v>158</v>
      </c>
      <c r="B49" s="15">
        <v>44901</v>
      </c>
      <c r="C49" s="15">
        <v>44562</v>
      </c>
      <c r="D49" s="15">
        <v>44896</v>
      </c>
      <c r="E49">
        <v>0</v>
      </c>
      <c r="F49">
        <v>0</v>
      </c>
      <c r="G49">
        <v>1</v>
      </c>
      <c r="H49">
        <v>1</v>
      </c>
      <c r="L49" t="s">
        <v>208</v>
      </c>
    </row>
    <row r="50" spans="1:12" x14ac:dyDescent="0.3">
      <c r="A50" t="s">
        <v>162</v>
      </c>
      <c r="B50" s="15">
        <v>44901</v>
      </c>
      <c r="C50" s="15">
        <v>44562</v>
      </c>
      <c r="D50" s="15">
        <v>44896</v>
      </c>
      <c r="E50">
        <v>0</v>
      </c>
      <c r="F50">
        <v>0</v>
      </c>
      <c r="G50">
        <v>1</v>
      </c>
      <c r="H50">
        <v>1</v>
      </c>
      <c r="L50" t="s">
        <v>504</v>
      </c>
    </row>
    <row r="51" spans="1:12" x14ac:dyDescent="0.3">
      <c r="A51" t="s">
        <v>150</v>
      </c>
      <c r="B51" s="15">
        <v>44901</v>
      </c>
      <c r="C51" s="15">
        <v>44562</v>
      </c>
      <c r="D51" s="15">
        <v>44896</v>
      </c>
      <c r="E51">
        <v>1</v>
      </c>
      <c r="F51">
        <v>0</v>
      </c>
      <c r="G51">
        <v>0</v>
      </c>
      <c r="H51">
        <v>1</v>
      </c>
      <c r="L51" t="s">
        <v>217</v>
      </c>
    </row>
    <row r="52" spans="1:12" x14ac:dyDescent="0.3">
      <c r="A52" t="s">
        <v>163</v>
      </c>
      <c r="B52" s="15">
        <v>44901</v>
      </c>
      <c r="C52" s="15">
        <v>44562</v>
      </c>
      <c r="D52" s="15">
        <v>44896</v>
      </c>
      <c r="E52">
        <v>0</v>
      </c>
      <c r="F52">
        <v>0</v>
      </c>
      <c r="G52">
        <v>1</v>
      </c>
      <c r="H52">
        <v>1</v>
      </c>
      <c r="L52" t="s">
        <v>140</v>
      </c>
    </row>
    <row r="53" spans="1:12" x14ac:dyDescent="0.3">
      <c r="A53" t="s">
        <v>157</v>
      </c>
      <c r="B53" s="15">
        <v>44901</v>
      </c>
      <c r="C53" s="15">
        <v>44562</v>
      </c>
      <c r="D53" s="15">
        <v>44896</v>
      </c>
      <c r="E53">
        <v>0</v>
      </c>
      <c r="F53">
        <v>1</v>
      </c>
      <c r="G53">
        <v>0</v>
      </c>
      <c r="H53">
        <v>1</v>
      </c>
      <c r="L53" t="s">
        <v>230</v>
      </c>
    </row>
    <row r="54" spans="1:12" x14ac:dyDescent="0.3">
      <c r="A54" t="s">
        <v>160</v>
      </c>
      <c r="B54" s="15">
        <v>44901</v>
      </c>
      <c r="C54" s="15">
        <v>44562</v>
      </c>
      <c r="D54" s="15">
        <v>44896</v>
      </c>
      <c r="E54">
        <v>0</v>
      </c>
      <c r="F54">
        <v>0</v>
      </c>
      <c r="G54">
        <v>1</v>
      </c>
      <c r="H54">
        <v>1</v>
      </c>
    </row>
    <row r="55" spans="1:12" x14ac:dyDescent="0.3">
      <c r="A55" t="s">
        <v>126</v>
      </c>
      <c r="B55" s="15">
        <v>44901</v>
      </c>
      <c r="C55" s="15">
        <v>44562</v>
      </c>
      <c r="D55" s="15">
        <v>44896</v>
      </c>
      <c r="E55">
        <v>0</v>
      </c>
      <c r="F55">
        <v>0</v>
      </c>
      <c r="G55">
        <v>1</v>
      </c>
      <c r="H55">
        <v>1</v>
      </c>
    </row>
    <row r="56" spans="1:12" x14ac:dyDescent="0.3">
      <c r="A56" t="s">
        <v>165</v>
      </c>
      <c r="B56" s="15">
        <v>44901</v>
      </c>
      <c r="C56" s="15">
        <v>44562</v>
      </c>
      <c r="D56" s="15">
        <v>44896</v>
      </c>
      <c r="E56">
        <v>0</v>
      </c>
      <c r="F56">
        <v>1</v>
      </c>
      <c r="G56">
        <v>0</v>
      </c>
      <c r="H56">
        <v>1</v>
      </c>
    </row>
    <row r="57" spans="1:12" x14ac:dyDescent="0.3">
      <c r="A57" t="s">
        <v>153</v>
      </c>
      <c r="B57" s="15">
        <v>44901</v>
      </c>
      <c r="C57" s="15">
        <v>44562</v>
      </c>
      <c r="D57" s="15">
        <v>44896</v>
      </c>
      <c r="E57">
        <v>0</v>
      </c>
      <c r="F57">
        <v>0</v>
      </c>
      <c r="G57">
        <v>1</v>
      </c>
      <c r="H57">
        <v>1</v>
      </c>
    </row>
    <row r="58" spans="1:12" x14ac:dyDescent="0.3">
      <c r="A58" t="s">
        <v>141</v>
      </c>
      <c r="B58" s="15">
        <v>44901</v>
      </c>
      <c r="C58" s="15">
        <v>44562</v>
      </c>
      <c r="D58" s="15">
        <v>44896</v>
      </c>
      <c r="E58">
        <v>1</v>
      </c>
      <c r="F58">
        <v>1</v>
      </c>
      <c r="G58">
        <v>0</v>
      </c>
      <c r="H58">
        <v>2</v>
      </c>
    </row>
    <row r="59" spans="1:12" x14ac:dyDescent="0.3">
      <c r="A59" t="s">
        <v>168</v>
      </c>
      <c r="B59" s="15">
        <v>44901</v>
      </c>
      <c r="C59" s="15">
        <v>44562</v>
      </c>
      <c r="D59" s="15">
        <v>44896</v>
      </c>
      <c r="E59">
        <v>1</v>
      </c>
      <c r="F59">
        <v>0</v>
      </c>
      <c r="G59">
        <v>0</v>
      </c>
      <c r="H59">
        <v>1</v>
      </c>
    </row>
    <row r="60" spans="1:12" x14ac:dyDescent="0.3">
      <c r="A60" t="s">
        <v>154</v>
      </c>
      <c r="B60" s="15">
        <v>44901</v>
      </c>
      <c r="C60" s="15">
        <v>44562</v>
      </c>
      <c r="D60" s="15">
        <v>44896</v>
      </c>
      <c r="E60">
        <v>0</v>
      </c>
      <c r="F60">
        <v>1</v>
      </c>
      <c r="G60">
        <v>0</v>
      </c>
      <c r="H60">
        <v>1</v>
      </c>
    </row>
    <row r="61" spans="1:12" x14ac:dyDescent="0.3">
      <c r="A61" t="s">
        <v>159</v>
      </c>
      <c r="B61" s="15">
        <v>44901</v>
      </c>
      <c r="C61" s="15">
        <v>44562</v>
      </c>
      <c r="D61" s="15">
        <v>44896</v>
      </c>
      <c r="E61">
        <v>1</v>
      </c>
      <c r="F61">
        <v>0</v>
      </c>
      <c r="G61">
        <v>0</v>
      </c>
      <c r="H61">
        <v>1</v>
      </c>
    </row>
    <row r="62" spans="1:12" x14ac:dyDescent="0.3">
      <c r="A62" t="s">
        <v>167</v>
      </c>
      <c r="B62" s="15">
        <v>44901</v>
      </c>
      <c r="C62" s="15">
        <v>44562</v>
      </c>
      <c r="D62" s="15">
        <v>44896</v>
      </c>
      <c r="E62">
        <v>1</v>
      </c>
      <c r="F62">
        <v>0</v>
      </c>
      <c r="G62">
        <v>0</v>
      </c>
      <c r="H62">
        <v>1</v>
      </c>
    </row>
    <row r="63" spans="1:12" x14ac:dyDescent="0.3">
      <c r="A63" t="s">
        <v>117</v>
      </c>
      <c r="B63" s="15">
        <v>45266</v>
      </c>
      <c r="C63" s="15">
        <v>44927</v>
      </c>
      <c r="D63" s="15">
        <v>45261</v>
      </c>
      <c r="E63">
        <v>5</v>
      </c>
      <c r="F63">
        <v>2</v>
      </c>
      <c r="G63">
        <v>3</v>
      </c>
      <c r="H63">
        <v>10</v>
      </c>
    </row>
    <row r="64" spans="1:12" x14ac:dyDescent="0.3">
      <c r="A64" t="s">
        <v>172</v>
      </c>
      <c r="B64" s="15">
        <v>45266</v>
      </c>
      <c r="C64" s="15">
        <v>44927</v>
      </c>
      <c r="D64" s="15">
        <v>45261</v>
      </c>
      <c r="E64">
        <v>1</v>
      </c>
      <c r="F64">
        <v>0</v>
      </c>
      <c r="G64">
        <v>0</v>
      </c>
      <c r="H64">
        <v>1</v>
      </c>
    </row>
    <row r="65" spans="1:8" x14ac:dyDescent="0.3">
      <c r="A65" t="s">
        <v>155</v>
      </c>
      <c r="B65" s="15">
        <v>45266</v>
      </c>
      <c r="C65" s="15">
        <v>44927</v>
      </c>
      <c r="D65" s="15">
        <v>45261</v>
      </c>
      <c r="E65">
        <v>0</v>
      </c>
      <c r="F65">
        <v>0</v>
      </c>
      <c r="G65">
        <v>1</v>
      </c>
      <c r="H65">
        <v>1</v>
      </c>
    </row>
    <row r="66" spans="1:8" x14ac:dyDescent="0.3">
      <c r="A66" t="s">
        <v>170</v>
      </c>
      <c r="B66" s="15">
        <v>45266</v>
      </c>
      <c r="C66" s="15">
        <v>44927</v>
      </c>
      <c r="D66" s="15">
        <v>45261</v>
      </c>
      <c r="E66">
        <v>1</v>
      </c>
      <c r="F66">
        <v>0</v>
      </c>
      <c r="G66">
        <v>0</v>
      </c>
      <c r="H66">
        <v>1</v>
      </c>
    </row>
    <row r="67" spans="1:8" x14ac:dyDescent="0.3">
      <c r="A67" t="s">
        <v>204</v>
      </c>
      <c r="B67" s="15">
        <v>45266</v>
      </c>
      <c r="C67" s="15">
        <v>44927</v>
      </c>
      <c r="D67" s="15">
        <v>45261</v>
      </c>
      <c r="E67">
        <v>0</v>
      </c>
      <c r="F67">
        <v>1</v>
      </c>
      <c r="G67">
        <v>0</v>
      </c>
      <c r="H67">
        <v>1</v>
      </c>
    </row>
    <row r="68" spans="1:8" x14ac:dyDescent="0.3">
      <c r="A68" t="s">
        <v>153</v>
      </c>
      <c r="B68" s="15">
        <v>45266</v>
      </c>
      <c r="C68" s="15">
        <v>44927</v>
      </c>
      <c r="D68" s="15">
        <v>45261</v>
      </c>
      <c r="E68">
        <v>1</v>
      </c>
      <c r="F68">
        <v>3</v>
      </c>
      <c r="G68">
        <v>1</v>
      </c>
      <c r="H68">
        <v>5</v>
      </c>
    </row>
    <row r="69" spans="1:8" x14ac:dyDescent="0.3">
      <c r="A69" t="s">
        <v>190</v>
      </c>
      <c r="B69" s="15">
        <v>45266</v>
      </c>
      <c r="C69" s="15">
        <v>44927</v>
      </c>
      <c r="D69" s="15">
        <v>45261</v>
      </c>
      <c r="E69">
        <v>1</v>
      </c>
      <c r="F69">
        <v>0</v>
      </c>
      <c r="G69">
        <v>0</v>
      </c>
      <c r="H69">
        <v>1</v>
      </c>
    </row>
    <row r="70" spans="1:8" x14ac:dyDescent="0.3">
      <c r="A70" t="s">
        <v>184</v>
      </c>
      <c r="B70" s="15">
        <v>45266</v>
      </c>
      <c r="C70" s="15">
        <v>44927</v>
      </c>
      <c r="D70" s="15">
        <v>45261</v>
      </c>
      <c r="E70">
        <v>0</v>
      </c>
      <c r="F70">
        <v>1</v>
      </c>
      <c r="G70">
        <v>0</v>
      </c>
      <c r="H70">
        <v>1</v>
      </c>
    </row>
    <row r="71" spans="1:8" x14ac:dyDescent="0.3">
      <c r="A71" t="s">
        <v>152</v>
      </c>
      <c r="B71" s="15">
        <v>45266</v>
      </c>
      <c r="C71" s="15">
        <v>44927</v>
      </c>
      <c r="D71" s="15">
        <v>45261</v>
      </c>
      <c r="E71">
        <v>3</v>
      </c>
      <c r="F71">
        <v>0</v>
      </c>
      <c r="G71">
        <v>1</v>
      </c>
      <c r="H71">
        <v>4</v>
      </c>
    </row>
    <row r="72" spans="1:8" x14ac:dyDescent="0.3">
      <c r="A72" t="s">
        <v>183</v>
      </c>
      <c r="B72" s="15">
        <v>45266</v>
      </c>
      <c r="C72" s="15">
        <v>44927</v>
      </c>
      <c r="D72" s="15">
        <v>45261</v>
      </c>
      <c r="E72">
        <v>1</v>
      </c>
      <c r="F72">
        <v>0</v>
      </c>
      <c r="G72">
        <v>0</v>
      </c>
      <c r="H72">
        <v>1</v>
      </c>
    </row>
    <row r="73" spans="1:8" x14ac:dyDescent="0.3">
      <c r="A73" t="s">
        <v>151</v>
      </c>
      <c r="B73" s="15">
        <v>45266</v>
      </c>
      <c r="C73" s="15">
        <v>44927</v>
      </c>
      <c r="D73" s="15">
        <v>45261</v>
      </c>
      <c r="E73">
        <v>1</v>
      </c>
      <c r="F73">
        <v>0</v>
      </c>
      <c r="G73">
        <v>1</v>
      </c>
      <c r="H73">
        <v>2</v>
      </c>
    </row>
    <row r="74" spans="1:8" x14ac:dyDescent="0.3">
      <c r="A74" t="s">
        <v>171</v>
      </c>
      <c r="B74" s="15">
        <v>45266</v>
      </c>
      <c r="C74" s="15">
        <v>44927</v>
      </c>
      <c r="D74" s="15">
        <v>45261</v>
      </c>
      <c r="E74">
        <v>1</v>
      </c>
      <c r="F74">
        <v>0</v>
      </c>
      <c r="G74">
        <v>0</v>
      </c>
      <c r="H74">
        <v>1</v>
      </c>
    </row>
    <row r="75" spans="1:8" x14ac:dyDescent="0.3">
      <c r="A75" t="s">
        <v>141</v>
      </c>
      <c r="B75" s="15">
        <v>45266</v>
      </c>
      <c r="C75" s="15">
        <v>44927</v>
      </c>
      <c r="D75" s="15">
        <v>45261</v>
      </c>
      <c r="E75">
        <v>3</v>
      </c>
      <c r="F75">
        <v>2</v>
      </c>
      <c r="G75">
        <v>0</v>
      </c>
      <c r="H75">
        <v>5</v>
      </c>
    </row>
    <row r="76" spans="1:8" x14ac:dyDescent="0.3">
      <c r="A76" t="s">
        <v>178</v>
      </c>
      <c r="B76" s="15">
        <v>45266</v>
      </c>
      <c r="C76" s="15">
        <v>44927</v>
      </c>
      <c r="D76" s="15">
        <v>45261</v>
      </c>
      <c r="E76">
        <v>1</v>
      </c>
      <c r="F76">
        <v>0</v>
      </c>
      <c r="G76">
        <v>0</v>
      </c>
      <c r="H76">
        <v>1</v>
      </c>
    </row>
    <row r="77" spans="1:8" x14ac:dyDescent="0.3">
      <c r="A77" t="s">
        <v>174</v>
      </c>
      <c r="B77" s="15">
        <v>45266</v>
      </c>
      <c r="C77" s="15">
        <v>44927</v>
      </c>
      <c r="D77" s="15">
        <v>45261</v>
      </c>
      <c r="E77">
        <v>1</v>
      </c>
      <c r="F77">
        <v>0</v>
      </c>
      <c r="G77">
        <v>0</v>
      </c>
      <c r="H77">
        <v>1</v>
      </c>
    </row>
    <row r="78" spans="1:8" x14ac:dyDescent="0.3">
      <c r="A78" t="s">
        <v>180</v>
      </c>
      <c r="B78" s="15">
        <v>45266</v>
      </c>
      <c r="C78" s="15">
        <v>44927</v>
      </c>
      <c r="D78" s="15">
        <v>45261</v>
      </c>
      <c r="E78">
        <v>1</v>
      </c>
      <c r="F78">
        <v>0</v>
      </c>
      <c r="G78">
        <v>0</v>
      </c>
      <c r="H78">
        <v>1</v>
      </c>
    </row>
    <row r="79" spans="1:8" x14ac:dyDescent="0.3">
      <c r="A79" t="s">
        <v>149</v>
      </c>
      <c r="B79" s="15">
        <v>45266</v>
      </c>
      <c r="C79" s="15">
        <v>44927</v>
      </c>
      <c r="D79" s="15">
        <v>45261</v>
      </c>
      <c r="E79">
        <v>0</v>
      </c>
      <c r="F79">
        <v>0</v>
      </c>
      <c r="G79">
        <v>2</v>
      </c>
      <c r="H79">
        <v>2</v>
      </c>
    </row>
    <row r="80" spans="1:8" x14ac:dyDescent="0.3">
      <c r="A80" t="s">
        <v>185</v>
      </c>
      <c r="B80" s="15">
        <v>45266</v>
      </c>
      <c r="C80" s="15">
        <v>44927</v>
      </c>
      <c r="D80" s="15">
        <v>45261</v>
      </c>
      <c r="E80">
        <v>0</v>
      </c>
      <c r="F80">
        <v>0</v>
      </c>
      <c r="G80">
        <v>1</v>
      </c>
      <c r="H80">
        <v>1</v>
      </c>
    </row>
    <row r="81" spans="1:8" x14ac:dyDescent="0.3">
      <c r="A81" t="s">
        <v>181</v>
      </c>
      <c r="B81" s="15">
        <v>45266</v>
      </c>
      <c r="C81" s="15">
        <v>44927</v>
      </c>
      <c r="D81" s="15">
        <v>45261</v>
      </c>
      <c r="E81">
        <v>1</v>
      </c>
      <c r="F81">
        <v>0</v>
      </c>
      <c r="G81">
        <v>0</v>
      </c>
      <c r="H81">
        <v>1</v>
      </c>
    </row>
    <row r="82" spans="1:8" x14ac:dyDescent="0.3">
      <c r="A82" t="s">
        <v>134</v>
      </c>
      <c r="B82" s="15">
        <v>45266</v>
      </c>
      <c r="C82" s="15">
        <v>44927</v>
      </c>
      <c r="D82" s="15">
        <v>45261</v>
      </c>
      <c r="E82">
        <v>0</v>
      </c>
      <c r="F82">
        <v>0</v>
      </c>
      <c r="G82">
        <v>1</v>
      </c>
      <c r="H82">
        <v>1</v>
      </c>
    </row>
    <row r="83" spans="1:8" x14ac:dyDescent="0.3">
      <c r="A83" t="s">
        <v>196</v>
      </c>
      <c r="B83" s="15">
        <v>45266</v>
      </c>
      <c r="C83" s="15">
        <v>44927</v>
      </c>
      <c r="D83" s="15">
        <v>45261</v>
      </c>
      <c r="E83">
        <v>1</v>
      </c>
      <c r="F83">
        <v>0</v>
      </c>
      <c r="G83">
        <v>1</v>
      </c>
      <c r="H83">
        <v>2</v>
      </c>
    </row>
    <row r="84" spans="1:8" x14ac:dyDescent="0.3">
      <c r="A84" t="s">
        <v>194</v>
      </c>
      <c r="B84" s="15">
        <v>45266</v>
      </c>
      <c r="C84" s="15">
        <v>44927</v>
      </c>
      <c r="D84" s="15">
        <v>45261</v>
      </c>
      <c r="E84">
        <v>1</v>
      </c>
      <c r="F84">
        <v>0</v>
      </c>
      <c r="G84">
        <v>0</v>
      </c>
      <c r="H84">
        <v>1</v>
      </c>
    </row>
    <row r="85" spans="1:8" x14ac:dyDescent="0.3">
      <c r="A85" t="s">
        <v>193</v>
      </c>
      <c r="B85" s="15">
        <v>45266</v>
      </c>
      <c r="C85" s="15">
        <v>44927</v>
      </c>
      <c r="D85" s="15">
        <v>45261</v>
      </c>
      <c r="E85">
        <v>1</v>
      </c>
      <c r="F85">
        <v>0</v>
      </c>
      <c r="G85">
        <v>0</v>
      </c>
      <c r="H85">
        <v>1</v>
      </c>
    </row>
    <row r="86" spans="1:8" x14ac:dyDescent="0.3">
      <c r="A86" t="s">
        <v>192</v>
      </c>
      <c r="B86" s="15">
        <v>45266</v>
      </c>
      <c r="C86" s="15">
        <v>44927</v>
      </c>
      <c r="D86" s="15">
        <v>45261</v>
      </c>
      <c r="E86">
        <v>0</v>
      </c>
      <c r="F86">
        <v>1</v>
      </c>
      <c r="G86">
        <v>0</v>
      </c>
      <c r="H86">
        <v>1</v>
      </c>
    </row>
    <row r="87" spans="1:8" x14ac:dyDescent="0.3">
      <c r="A87" t="s">
        <v>182</v>
      </c>
      <c r="B87" s="15">
        <v>45266</v>
      </c>
      <c r="C87" s="15">
        <v>44927</v>
      </c>
      <c r="D87" s="15">
        <v>45261</v>
      </c>
      <c r="E87">
        <v>1</v>
      </c>
      <c r="F87">
        <v>0</v>
      </c>
      <c r="G87">
        <v>0</v>
      </c>
      <c r="H87">
        <v>1</v>
      </c>
    </row>
    <row r="88" spans="1:8" x14ac:dyDescent="0.3">
      <c r="A88" t="s">
        <v>191</v>
      </c>
      <c r="B88" s="15">
        <v>45266</v>
      </c>
      <c r="C88" s="15">
        <v>44927</v>
      </c>
      <c r="D88" s="15">
        <v>45261</v>
      </c>
      <c r="E88">
        <v>0</v>
      </c>
      <c r="F88">
        <v>0</v>
      </c>
      <c r="G88">
        <v>1</v>
      </c>
      <c r="H88">
        <v>1</v>
      </c>
    </row>
    <row r="89" spans="1:8" x14ac:dyDescent="0.3">
      <c r="A89" t="s">
        <v>189</v>
      </c>
      <c r="B89" s="15">
        <v>45266</v>
      </c>
      <c r="C89" s="15">
        <v>44927</v>
      </c>
      <c r="D89" s="15">
        <v>45261</v>
      </c>
      <c r="E89">
        <v>1</v>
      </c>
      <c r="F89">
        <v>0</v>
      </c>
      <c r="G89">
        <v>0</v>
      </c>
      <c r="H89">
        <v>1</v>
      </c>
    </row>
    <row r="90" spans="1:8" x14ac:dyDescent="0.3">
      <c r="A90" t="s">
        <v>188</v>
      </c>
      <c r="B90" s="15">
        <v>45266</v>
      </c>
      <c r="C90" s="15">
        <v>44927</v>
      </c>
      <c r="D90" s="15">
        <v>45261</v>
      </c>
      <c r="E90">
        <v>1</v>
      </c>
      <c r="F90">
        <v>0</v>
      </c>
      <c r="G90">
        <v>0</v>
      </c>
      <c r="H90">
        <v>1</v>
      </c>
    </row>
    <row r="91" spans="1:8" x14ac:dyDescent="0.3">
      <c r="A91" t="s">
        <v>187</v>
      </c>
      <c r="B91" s="15">
        <v>45266</v>
      </c>
      <c r="C91" s="15">
        <v>44927</v>
      </c>
      <c r="D91" s="15">
        <v>45261</v>
      </c>
      <c r="E91">
        <v>1</v>
      </c>
      <c r="F91">
        <v>0</v>
      </c>
      <c r="G91">
        <v>0</v>
      </c>
      <c r="H91">
        <v>1</v>
      </c>
    </row>
    <row r="92" spans="1:8" x14ac:dyDescent="0.3">
      <c r="A92" t="s">
        <v>186</v>
      </c>
      <c r="B92" s="15">
        <v>45266</v>
      </c>
      <c r="C92" s="15">
        <v>44927</v>
      </c>
      <c r="D92" s="15">
        <v>45261</v>
      </c>
      <c r="E92">
        <v>0</v>
      </c>
      <c r="F92">
        <v>1</v>
      </c>
      <c r="G92">
        <v>0</v>
      </c>
      <c r="H92">
        <v>1</v>
      </c>
    </row>
    <row r="93" spans="1:8" x14ac:dyDescent="0.3">
      <c r="A93" t="s">
        <v>195</v>
      </c>
      <c r="B93" s="15">
        <v>45266</v>
      </c>
      <c r="C93" s="15">
        <v>44927</v>
      </c>
      <c r="D93" s="15">
        <v>45261</v>
      </c>
      <c r="E93">
        <v>1</v>
      </c>
      <c r="F93">
        <v>0</v>
      </c>
      <c r="G93">
        <v>0</v>
      </c>
      <c r="H93">
        <v>1</v>
      </c>
    </row>
    <row r="94" spans="1:8" x14ac:dyDescent="0.3">
      <c r="A94" t="s">
        <v>173</v>
      </c>
      <c r="B94" s="15">
        <v>45266</v>
      </c>
      <c r="C94" s="15">
        <v>44927</v>
      </c>
      <c r="D94" s="15">
        <v>45261</v>
      </c>
      <c r="E94">
        <v>2</v>
      </c>
      <c r="F94">
        <v>0</v>
      </c>
      <c r="G94">
        <v>1</v>
      </c>
      <c r="H94">
        <v>3</v>
      </c>
    </row>
    <row r="95" spans="1:8" x14ac:dyDescent="0.3">
      <c r="A95" t="s">
        <v>205</v>
      </c>
      <c r="B95" s="15">
        <v>45266</v>
      </c>
      <c r="C95" s="15">
        <v>44927</v>
      </c>
      <c r="D95" s="15">
        <v>45261</v>
      </c>
      <c r="E95">
        <v>1</v>
      </c>
      <c r="F95">
        <v>0</v>
      </c>
      <c r="G95">
        <v>0</v>
      </c>
      <c r="H95">
        <v>1</v>
      </c>
    </row>
    <row r="96" spans="1:8" x14ac:dyDescent="0.3">
      <c r="A96" t="s">
        <v>175</v>
      </c>
      <c r="B96" s="15">
        <v>45266</v>
      </c>
      <c r="C96" s="15">
        <v>44927</v>
      </c>
      <c r="D96" s="15">
        <v>45261</v>
      </c>
      <c r="E96">
        <v>2</v>
      </c>
      <c r="F96">
        <v>0</v>
      </c>
      <c r="G96">
        <v>0</v>
      </c>
      <c r="H96">
        <v>2</v>
      </c>
    </row>
    <row r="97" spans="1:8" x14ac:dyDescent="0.3">
      <c r="A97" t="s">
        <v>126</v>
      </c>
      <c r="B97" s="15">
        <v>45266</v>
      </c>
      <c r="C97" s="15">
        <v>44927</v>
      </c>
      <c r="D97" s="15">
        <v>45261</v>
      </c>
      <c r="E97">
        <v>4</v>
      </c>
      <c r="F97">
        <v>0</v>
      </c>
      <c r="G97">
        <v>1</v>
      </c>
      <c r="H97">
        <v>5</v>
      </c>
    </row>
    <row r="98" spans="1:8" x14ac:dyDescent="0.3">
      <c r="A98" t="s">
        <v>198</v>
      </c>
      <c r="B98" s="15">
        <v>45266</v>
      </c>
      <c r="C98" s="15">
        <v>44927</v>
      </c>
      <c r="D98" s="15">
        <v>45261</v>
      </c>
      <c r="E98">
        <v>0</v>
      </c>
      <c r="F98">
        <v>0</v>
      </c>
      <c r="G98">
        <v>1</v>
      </c>
      <c r="H98">
        <v>1</v>
      </c>
    </row>
    <row r="99" spans="1:8" x14ac:dyDescent="0.3">
      <c r="A99" t="s">
        <v>199</v>
      </c>
      <c r="B99" s="15">
        <v>45266</v>
      </c>
      <c r="C99" s="15">
        <v>44927</v>
      </c>
      <c r="D99" s="15">
        <v>45261</v>
      </c>
      <c r="E99">
        <v>3</v>
      </c>
      <c r="F99">
        <v>0</v>
      </c>
      <c r="G99">
        <v>1</v>
      </c>
      <c r="H99">
        <v>4</v>
      </c>
    </row>
    <row r="100" spans="1:8" x14ac:dyDescent="0.3">
      <c r="A100" t="s">
        <v>177</v>
      </c>
      <c r="B100" s="15">
        <v>45266</v>
      </c>
      <c r="C100" s="15">
        <v>44927</v>
      </c>
      <c r="D100" s="15">
        <v>45261</v>
      </c>
      <c r="E100">
        <v>0</v>
      </c>
      <c r="F100">
        <v>0</v>
      </c>
      <c r="G100">
        <v>1</v>
      </c>
      <c r="H100">
        <v>1</v>
      </c>
    </row>
    <row r="101" spans="1:8" x14ac:dyDescent="0.3">
      <c r="A101" t="s">
        <v>179</v>
      </c>
      <c r="B101" s="15">
        <v>45266</v>
      </c>
      <c r="C101" s="15">
        <v>44927</v>
      </c>
      <c r="D101" s="15">
        <v>45261</v>
      </c>
      <c r="E101">
        <v>1</v>
      </c>
      <c r="F101">
        <v>0</v>
      </c>
      <c r="G101">
        <v>0</v>
      </c>
      <c r="H101">
        <v>1</v>
      </c>
    </row>
    <row r="102" spans="1:8" x14ac:dyDescent="0.3">
      <c r="A102" t="s">
        <v>203</v>
      </c>
      <c r="B102" s="15">
        <v>45266</v>
      </c>
      <c r="C102" s="15">
        <v>44927</v>
      </c>
      <c r="D102" s="15">
        <v>45261</v>
      </c>
      <c r="E102">
        <v>1</v>
      </c>
      <c r="F102">
        <v>1</v>
      </c>
      <c r="G102">
        <v>0</v>
      </c>
      <c r="H102">
        <v>2</v>
      </c>
    </row>
    <row r="103" spans="1:8" x14ac:dyDescent="0.3">
      <c r="A103" t="s">
        <v>122</v>
      </c>
      <c r="B103" s="15">
        <v>45266</v>
      </c>
      <c r="C103" s="15">
        <v>44927</v>
      </c>
      <c r="D103" s="15">
        <v>45261</v>
      </c>
      <c r="E103">
        <v>3</v>
      </c>
      <c r="F103">
        <v>0</v>
      </c>
      <c r="G103">
        <v>1</v>
      </c>
      <c r="H103">
        <v>4</v>
      </c>
    </row>
    <row r="104" spans="1:8" x14ac:dyDescent="0.3">
      <c r="A104" t="s">
        <v>200</v>
      </c>
      <c r="B104" s="15">
        <v>45266</v>
      </c>
      <c r="C104" s="15">
        <v>44927</v>
      </c>
      <c r="D104" s="15">
        <v>45261</v>
      </c>
      <c r="E104">
        <v>0</v>
      </c>
      <c r="F104">
        <v>1</v>
      </c>
      <c r="G104">
        <v>0</v>
      </c>
      <c r="H104">
        <v>1</v>
      </c>
    </row>
    <row r="105" spans="1:8" x14ac:dyDescent="0.3">
      <c r="A105" t="s">
        <v>156</v>
      </c>
      <c r="B105" s="15">
        <v>45266</v>
      </c>
      <c r="C105" s="15">
        <v>44927</v>
      </c>
      <c r="D105" s="15">
        <v>45261</v>
      </c>
      <c r="E105">
        <v>1</v>
      </c>
      <c r="F105">
        <v>0</v>
      </c>
      <c r="G105">
        <v>0</v>
      </c>
      <c r="H105">
        <v>1</v>
      </c>
    </row>
    <row r="106" spans="1:8" x14ac:dyDescent="0.3">
      <c r="A106" t="s">
        <v>197</v>
      </c>
      <c r="B106" s="15">
        <v>45266</v>
      </c>
      <c r="C106" s="15">
        <v>44927</v>
      </c>
      <c r="D106" s="15">
        <v>45261</v>
      </c>
      <c r="E106">
        <v>1</v>
      </c>
      <c r="F106">
        <v>0</v>
      </c>
      <c r="G106">
        <v>0</v>
      </c>
      <c r="H106">
        <v>1</v>
      </c>
    </row>
    <row r="107" spans="1:8" x14ac:dyDescent="0.3">
      <c r="A107" t="s">
        <v>202</v>
      </c>
      <c r="B107" s="15">
        <v>45266</v>
      </c>
      <c r="C107" s="15">
        <v>44927</v>
      </c>
      <c r="D107" s="15">
        <v>45261</v>
      </c>
      <c r="E107">
        <v>1</v>
      </c>
      <c r="F107">
        <v>0</v>
      </c>
      <c r="G107">
        <v>0</v>
      </c>
      <c r="H107">
        <v>1</v>
      </c>
    </row>
    <row r="108" spans="1:8" x14ac:dyDescent="0.3">
      <c r="A108" t="s">
        <v>201</v>
      </c>
      <c r="B108" s="15">
        <v>45266</v>
      </c>
      <c r="C108" s="15">
        <v>44927</v>
      </c>
      <c r="D108" s="15">
        <v>45261</v>
      </c>
      <c r="E108">
        <v>1</v>
      </c>
      <c r="F108">
        <v>0</v>
      </c>
      <c r="G108">
        <v>0</v>
      </c>
      <c r="H108">
        <v>1</v>
      </c>
    </row>
    <row r="109" spans="1:8" x14ac:dyDescent="0.3">
      <c r="A109" t="s">
        <v>169</v>
      </c>
      <c r="B109" s="15">
        <v>45266</v>
      </c>
      <c r="C109" s="15">
        <v>44927</v>
      </c>
      <c r="D109" s="15">
        <v>45261</v>
      </c>
      <c r="E109">
        <v>1</v>
      </c>
      <c r="F109">
        <v>0</v>
      </c>
      <c r="G109">
        <v>0</v>
      </c>
      <c r="H109">
        <v>1</v>
      </c>
    </row>
    <row r="110" spans="1:8" x14ac:dyDescent="0.3">
      <c r="A110" t="s">
        <v>167</v>
      </c>
      <c r="B110" s="15">
        <v>45266</v>
      </c>
      <c r="C110" s="15">
        <v>44927</v>
      </c>
      <c r="D110" s="15">
        <v>45261</v>
      </c>
      <c r="E110">
        <v>1</v>
      </c>
      <c r="F110">
        <v>0</v>
      </c>
      <c r="G110">
        <v>0</v>
      </c>
      <c r="H110">
        <v>1</v>
      </c>
    </row>
    <row r="111" spans="1:8" x14ac:dyDescent="0.3">
      <c r="A111" t="s">
        <v>176</v>
      </c>
      <c r="B111" s="15">
        <v>45266</v>
      </c>
      <c r="C111" s="15">
        <v>44927</v>
      </c>
      <c r="D111" s="15">
        <v>45261</v>
      </c>
      <c r="E111">
        <v>1</v>
      </c>
      <c r="F111">
        <v>0</v>
      </c>
      <c r="G111">
        <v>0</v>
      </c>
      <c r="H111">
        <v>1</v>
      </c>
    </row>
    <row r="112" spans="1:8" x14ac:dyDescent="0.3">
      <c r="A112" t="s">
        <v>207</v>
      </c>
      <c r="B112" s="15">
        <v>45297</v>
      </c>
      <c r="C112" s="15">
        <v>45292</v>
      </c>
      <c r="D112" s="15">
        <v>45292</v>
      </c>
      <c r="E112">
        <v>1</v>
      </c>
      <c r="F112">
        <v>0</v>
      </c>
      <c r="G112">
        <v>0</v>
      </c>
      <c r="H112">
        <v>1</v>
      </c>
    </row>
    <row r="113" spans="1:8" x14ac:dyDescent="0.3">
      <c r="A113" t="s">
        <v>206</v>
      </c>
      <c r="B113" s="15">
        <v>45297</v>
      </c>
      <c r="C113" s="15">
        <v>45292</v>
      </c>
      <c r="D113" s="15">
        <v>45292</v>
      </c>
      <c r="E113">
        <v>1</v>
      </c>
      <c r="F113">
        <v>0</v>
      </c>
      <c r="G113">
        <v>0</v>
      </c>
      <c r="H113">
        <v>1</v>
      </c>
    </row>
    <row r="114" spans="1:8" x14ac:dyDescent="0.3">
      <c r="A114" t="s">
        <v>151</v>
      </c>
      <c r="B114" s="15">
        <v>45328</v>
      </c>
      <c r="C114" s="15">
        <v>45292</v>
      </c>
      <c r="D114" s="15">
        <v>45323</v>
      </c>
      <c r="E114">
        <v>1</v>
      </c>
      <c r="F114">
        <v>0</v>
      </c>
      <c r="G114">
        <v>0</v>
      </c>
      <c r="H114">
        <v>1</v>
      </c>
    </row>
    <row r="115" spans="1:8" x14ac:dyDescent="0.3">
      <c r="A115" t="s">
        <v>208</v>
      </c>
      <c r="B115" s="15">
        <v>45328</v>
      </c>
      <c r="C115" s="15">
        <v>45292</v>
      </c>
      <c r="D115" s="15">
        <v>45323</v>
      </c>
      <c r="E115">
        <v>0</v>
      </c>
      <c r="F115">
        <v>1</v>
      </c>
      <c r="G115">
        <v>0</v>
      </c>
      <c r="H115">
        <v>1</v>
      </c>
    </row>
    <row r="116" spans="1:8" x14ac:dyDescent="0.3">
      <c r="A116" t="s">
        <v>122</v>
      </c>
      <c r="B116" s="15">
        <v>45328</v>
      </c>
      <c r="C116" s="15">
        <v>45292</v>
      </c>
      <c r="D116" s="15">
        <v>45323</v>
      </c>
      <c r="E116">
        <v>0</v>
      </c>
      <c r="F116">
        <v>0</v>
      </c>
      <c r="G116">
        <v>1</v>
      </c>
      <c r="H116">
        <v>1</v>
      </c>
    </row>
    <row r="117" spans="1:8" x14ac:dyDescent="0.3">
      <c r="A117" t="s">
        <v>209</v>
      </c>
      <c r="B117" s="15">
        <v>45328</v>
      </c>
      <c r="C117" s="15">
        <v>45292</v>
      </c>
      <c r="D117" s="15">
        <v>45323</v>
      </c>
      <c r="E117">
        <v>1</v>
      </c>
      <c r="F117">
        <v>0</v>
      </c>
      <c r="G117">
        <v>0</v>
      </c>
      <c r="H117">
        <v>1</v>
      </c>
    </row>
    <row r="118" spans="1:8" x14ac:dyDescent="0.3">
      <c r="A118" t="s">
        <v>211</v>
      </c>
      <c r="B118" s="15">
        <v>45328</v>
      </c>
      <c r="C118" s="15">
        <v>45292</v>
      </c>
      <c r="D118" s="15">
        <v>45323</v>
      </c>
      <c r="E118">
        <v>1</v>
      </c>
      <c r="F118">
        <v>0</v>
      </c>
      <c r="G118">
        <v>0</v>
      </c>
      <c r="H118">
        <v>1</v>
      </c>
    </row>
    <row r="119" spans="1:8" x14ac:dyDescent="0.3">
      <c r="A119" t="s">
        <v>212</v>
      </c>
      <c r="B119" s="15">
        <v>45328</v>
      </c>
      <c r="C119" s="15">
        <v>45292</v>
      </c>
      <c r="D119" s="15">
        <v>45323</v>
      </c>
      <c r="E119">
        <v>1</v>
      </c>
      <c r="F119">
        <v>0</v>
      </c>
      <c r="G119">
        <v>0</v>
      </c>
      <c r="H119">
        <v>1</v>
      </c>
    </row>
    <row r="120" spans="1:8" x14ac:dyDescent="0.3">
      <c r="A120" t="s">
        <v>210</v>
      </c>
      <c r="B120" s="15">
        <v>45328</v>
      </c>
      <c r="C120" s="15">
        <v>45292</v>
      </c>
      <c r="D120" s="15">
        <v>45323</v>
      </c>
      <c r="E120">
        <v>1</v>
      </c>
      <c r="F120">
        <v>0</v>
      </c>
      <c r="G120">
        <v>0</v>
      </c>
      <c r="H120">
        <v>1</v>
      </c>
    </row>
    <row r="121" spans="1:8" x14ac:dyDescent="0.3">
      <c r="A121" t="s">
        <v>223</v>
      </c>
      <c r="B121" s="15">
        <v>45357</v>
      </c>
      <c r="C121" s="15">
        <v>45292</v>
      </c>
      <c r="D121" s="15">
        <v>45352</v>
      </c>
      <c r="E121">
        <v>1</v>
      </c>
      <c r="F121">
        <v>0</v>
      </c>
      <c r="G121">
        <v>0</v>
      </c>
      <c r="H121">
        <v>1</v>
      </c>
    </row>
    <row r="122" spans="1:8" x14ac:dyDescent="0.3">
      <c r="A122" t="s">
        <v>216</v>
      </c>
      <c r="B122" s="15">
        <v>45357</v>
      </c>
      <c r="C122" s="15">
        <v>45292</v>
      </c>
      <c r="D122" s="15">
        <v>45352</v>
      </c>
      <c r="E122">
        <v>1</v>
      </c>
      <c r="F122">
        <v>0</v>
      </c>
      <c r="G122">
        <v>0</v>
      </c>
      <c r="H122">
        <v>1</v>
      </c>
    </row>
    <row r="123" spans="1:8" x14ac:dyDescent="0.3">
      <c r="A123" t="s">
        <v>215</v>
      </c>
      <c r="B123" s="15">
        <v>45357</v>
      </c>
      <c r="C123" s="15">
        <v>45292</v>
      </c>
      <c r="D123" s="15">
        <v>45352</v>
      </c>
      <c r="E123">
        <v>1</v>
      </c>
      <c r="F123">
        <v>0</v>
      </c>
      <c r="G123">
        <v>0</v>
      </c>
      <c r="H123">
        <v>1</v>
      </c>
    </row>
    <row r="124" spans="1:8" x14ac:dyDescent="0.3">
      <c r="A124" t="s">
        <v>222</v>
      </c>
      <c r="B124" s="15">
        <v>45357</v>
      </c>
      <c r="C124" s="15">
        <v>45292</v>
      </c>
      <c r="D124" s="15">
        <v>45352</v>
      </c>
      <c r="E124">
        <v>1</v>
      </c>
      <c r="F124">
        <v>0</v>
      </c>
      <c r="G124">
        <v>0</v>
      </c>
      <c r="H124">
        <v>1</v>
      </c>
    </row>
    <row r="125" spans="1:8" x14ac:dyDescent="0.3">
      <c r="A125" t="s">
        <v>219</v>
      </c>
      <c r="B125" s="15">
        <v>45357</v>
      </c>
      <c r="C125" s="15">
        <v>45292</v>
      </c>
      <c r="D125" s="15">
        <v>45352</v>
      </c>
      <c r="E125">
        <v>0</v>
      </c>
      <c r="F125">
        <v>1</v>
      </c>
      <c r="G125">
        <v>0</v>
      </c>
      <c r="H125">
        <v>1</v>
      </c>
    </row>
    <row r="126" spans="1:8" x14ac:dyDescent="0.3">
      <c r="A126" t="s">
        <v>141</v>
      </c>
      <c r="B126" s="15">
        <v>45357</v>
      </c>
      <c r="C126" s="15">
        <v>45292</v>
      </c>
      <c r="D126" s="15">
        <v>45352</v>
      </c>
      <c r="E126">
        <v>1</v>
      </c>
      <c r="F126">
        <v>0</v>
      </c>
      <c r="G126">
        <v>0</v>
      </c>
      <c r="H126">
        <v>1</v>
      </c>
    </row>
    <row r="127" spans="1:8" x14ac:dyDescent="0.3">
      <c r="A127" t="s">
        <v>217</v>
      </c>
      <c r="B127" s="15">
        <v>45357</v>
      </c>
      <c r="C127" s="15">
        <v>45292</v>
      </c>
      <c r="D127" s="15">
        <v>45352</v>
      </c>
      <c r="E127">
        <v>1</v>
      </c>
      <c r="F127">
        <v>0</v>
      </c>
      <c r="G127">
        <v>0</v>
      </c>
      <c r="H127">
        <v>1</v>
      </c>
    </row>
    <row r="128" spans="1:8" x14ac:dyDescent="0.3">
      <c r="A128" t="s">
        <v>140</v>
      </c>
      <c r="B128" s="15">
        <v>45357</v>
      </c>
      <c r="C128" s="15">
        <v>45292</v>
      </c>
      <c r="D128" s="15">
        <v>45352</v>
      </c>
      <c r="E128">
        <v>1</v>
      </c>
      <c r="F128">
        <v>0</v>
      </c>
      <c r="G128">
        <v>0</v>
      </c>
      <c r="H128">
        <v>1</v>
      </c>
    </row>
    <row r="129" spans="1:8" x14ac:dyDescent="0.3">
      <c r="A129" t="s">
        <v>221</v>
      </c>
      <c r="B129" s="15">
        <v>45357</v>
      </c>
      <c r="C129" s="15">
        <v>45292</v>
      </c>
      <c r="D129" s="15">
        <v>45352</v>
      </c>
      <c r="E129">
        <v>1</v>
      </c>
      <c r="F129">
        <v>0</v>
      </c>
      <c r="G129">
        <v>0</v>
      </c>
      <c r="H129">
        <v>1</v>
      </c>
    </row>
    <row r="130" spans="1:8" x14ac:dyDescent="0.3">
      <c r="A130" t="s">
        <v>220</v>
      </c>
      <c r="B130" s="15">
        <v>45357</v>
      </c>
      <c r="C130" s="15">
        <v>45292</v>
      </c>
      <c r="D130" s="15">
        <v>45352</v>
      </c>
      <c r="E130">
        <v>0</v>
      </c>
      <c r="F130">
        <v>1</v>
      </c>
      <c r="G130">
        <v>0</v>
      </c>
      <c r="H130">
        <v>1</v>
      </c>
    </row>
    <row r="131" spans="1:8" x14ac:dyDescent="0.3">
      <c r="A131" t="s">
        <v>213</v>
      </c>
      <c r="B131" s="15">
        <v>45357</v>
      </c>
      <c r="C131" s="15">
        <v>45292</v>
      </c>
      <c r="D131" s="15">
        <v>45352</v>
      </c>
      <c r="E131">
        <v>0</v>
      </c>
      <c r="F131">
        <v>1</v>
      </c>
      <c r="G131">
        <v>0</v>
      </c>
      <c r="H131">
        <v>1</v>
      </c>
    </row>
    <row r="132" spans="1:8" x14ac:dyDescent="0.3">
      <c r="A132" t="s">
        <v>224</v>
      </c>
      <c r="B132" s="15">
        <v>45357</v>
      </c>
      <c r="C132" s="15">
        <v>45292</v>
      </c>
      <c r="D132" s="15">
        <v>45352</v>
      </c>
      <c r="E132">
        <v>0</v>
      </c>
      <c r="F132">
        <v>1</v>
      </c>
      <c r="G132">
        <v>0</v>
      </c>
      <c r="H132">
        <v>1</v>
      </c>
    </row>
    <row r="133" spans="1:8" x14ac:dyDescent="0.3">
      <c r="A133" t="s">
        <v>218</v>
      </c>
      <c r="B133" s="15">
        <v>45357</v>
      </c>
      <c r="C133" s="15">
        <v>45292</v>
      </c>
      <c r="D133" s="15">
        <v>45352</v>
      </c>
      <c r="E133">
        <v>1</v>
      </c>
      <c r="F133">
        <v>0</v>
      </c>
      <c r="G133">
        <v>0</v>
      </c>
      <c r="H133">
        <v>1</v>
      </c>
    </row>
    <row r="134" spans="1:8" x14ac:dyDescent="0.3">
      <c r="A134" t="s">
        <v>214</v>
      </c>
      <c r="B134" s="15">
        <v>45357</v>
      </c>
      <c r="C134" s="15">
        <v>45292</v>
      </c>
      <c r="D134" s="15">
        <v>45352</v>
      </c>
      <c r="E134">
        <v>1</v>
      </c>
      <c r="F134">
        <v>0</v>
      </c>
      <c r="G134">
        <v>0</v>
      </c>
      <c r="H134">
        <v>1</v>
      </c>
    </row>
    <row r="135" spans="1:8" x14ac:dyDescent="0.3">
      <c r="A135" t="s">
        <v>153</v>
      </c>
      <c r="B135" s="15">
        <v>45388</v>
      </c>
      <c r="C135" s="15">
        <v>45292</v>
      </c>
      <c r="D135" s="15">
        <v>45383</v>
      </c>
      <c r="E135">
        <v>1</v>
      </c>
      <c r="F135">
        <v>0</v>
      </c>
      <c r="G135">
        <v>0</v>
      </c>
      <c r="H135">
        <v>1</v>
      </c>
    </row>
    <row r="136" spans="1:8" x14ac:dyDescent="0.3">
      <c r="A136" t="s">
        <v>141</v>
      </c>
      <c r="B136" s="15">
        <v>45388</v>
      </c>
      <c r="C136" s="15">
        <v>45292</v>
      </c>
      <c r="D136" s="15">
        <v>45383</v>
      </c>
      <c r="E136">
        <v>0</v>
      </c>
      <c r="F136">
        <v>0</v>
      </c>
      <c r="G136">
        <v>1</v>
      </c>
      <c r="H136">
        <v>1</v>
      </c>
    </row>
    <row r="137" spans="1:8" x14ac:dyDescent="0.3">
      <c r="A137" t="s">
        <v>123</v>
      </c>
      <c r="B137" s="15">
        <v>45388</v>
      </c>
      <c r="C137" s="15">
        <v>45292</v>
      </c>
      <c r="D137" s="15">
        <v>45383</v>
      </c>
      <c r="E137">
        <v>1</v>
      </c>
      <c r="F137">
        <v>0</v>
      </c>
      <c r="G137">
        <v>0</v>
      </c>
      <c r="H137">
        <v>1</v>
      </c>
    </row>
    <row r="138" spans="1:8" x14ac:dyDescent="0.3">
      <c r="A138" t="s">
        <v>220</v>
      </c>
      <c r="B138" s="15">
        <v>45418</v>
      </c>
      <c r="C138" s="15">
        <v>45292</v>
      </c>
      <c r="D138" s="15">
        <v>45413</v>
      </c>
      <c r="E138">
        <v>0</v>
      </c>
      <c r="F138">
        <v>0</v>
      </c>
      <c r="G138">
        <v>1</v>
      </c>
      <c r="H138">
        <v>1</v>
      </c>
    </row>
    <row r="139" spans="1:8" x14ac:dyDescent="0.3">
      <c r="A139" t="s">
        <v>122</v>
      </c>
      <c r="B139" s="15">
        <v>45418</v>
      </c>
      <c r="C139" s="15">
        <v>45292</v>
      </c>
      <c r="D139" s="15">
        <v>45413</v>
      </c>
      <c r="E139">
        <v>1</v>
      </c>
      <c r="F139">
        <v>0</v>
      </c>
      <c r="G139">
        <v>1</v>
      </c>
      <c r="H139">
        <v>2</v>
      </c>
    </row>
    <row r="140" spans="1:8" x14ac:dyDescent="0.3">
      <c r="A140" t="s">
        <v>226</v>
      </c>
      <c r="B140" s="15">
        <v>45418</v>
      </c>
      <c r="C140" s="15">
        <v>45292</v>
      </c>
      <c r="D140" s="15">
        <v>45413</v>
      </c>
      <c r="E140">
        <v>0</v>
      </c>
      <c r="F140">
        <v>0</v>
      </c>
      <c r="G140">
        <v>1</v>
      </c>
      <c r="H140">
        <v>1</v>
      </c>
    </row>
    <row r="141" spans="1:8" x14ac:dyDescent="0.3">
      <c r="A141" t="s">
        <v>228</v>
      </c>
      <c r="B141" s="15">
        <v>45418</v>
      </c>
      <c r="C141" s="15">
        <v>45292</v>
      </c>
      <c r="D141" s="15">
        <v>45413</v>
      </c>
      <c r="E141">
        <v>0</v>
      </c>
      <c r="F141">
        <v>0</v>
      </c>
      <c r="G141">
        <v>1</v>
      </c>
      <c r="H141">
        <v>1</v>
      </c>
    </row>
    <row r="142" spans="1:8" x14ac:dyDescent="0.3">
      <c r="A142" t="s">
        <v>227</v>
      </c>
      <c r="B142" s="15">
        <v>45418</v>
      </c>
      <c r="C142" s="15">
        <v>45292</v>
      </c>
      <c r="D142" s="15">
        <v>45413</v>
      </c>
      <c r="E142">
        <v>0</v>
      </c>
      <c r="F142">
        <v>0</v>
      </c>
      <c r="G142">
        <v>1</v>
      </c>
      <c r="H142">
        <v>1</v>
      </c>
    </row>
    <row r="143" spans="1:8" x14ac:dyDescent="0.3">
      <c r="A143" t="s">
        <v>126</v>
      </c>
      <c r="B143" s="15">
        <v>45418</v>
      </c>
      <c r="C143" s="15">
        <v>45292</v>
      </c>
      <c r="D143" s="15">
        <v>45413</v>
      </c>
      <c r="E143">
        <v>1</v>
      </c>
      <c r="F143">
        <v>0</v>
      </c>
      <c r="G143">
        <v>0</v>
      </c>
      <c r="H143">
        <v>1</v>
      </c>
    </row>
    <row r="144" spans="1:8" x14ac:dyDescent="0.3">
      <c r="A144" t="s">
        <v>230</v>
      </c>
      <c r="B144" s="15">
        <v>45418</v>
      </c>
      <c r="C144" s="15">
        <v>45292</v>
      </c>
      <c r="D144" s="15">
        <v>45413</v>
      </c>
      <c r="E144">
        <v>0</v>
      </c>
      <c r="F144">
        <v>1</v>
      </c>
      <c r="G144">
        <v>0</v>
      </c>
      <c r="H144">
        <v>1</v>
      </c>
    </row>
    <row r="145" spans="1:8" x14ac:dyDescent="0.3">
      <c r="A145" t="s">
        <v>231</v>
      </c>
      <c r="B145" s="15">
        <v>45418</v>
      </c>
      <c r="C145" s="15">
        <v>45292</v>
      </c>
      <c r="D145" s="15">
        <v>45413</v>
      </c>
      <c r="E145">
        <v>0</v>
      </c>
      <c r="F145">
        <v>0</v>
      </c>
      <c r="G145">
        <v>1</v>
      </c>
      <c r="H145">
        <v>1</v>
      </c>
    </row>
    <row r="146" spans="1:8" x14ac:dyDescent="0.3">
      <c r="A146" t="s">
        <v>232</v>
      </c>
      <c r="B146" s="15">
        <v>45418</v>
      </c>
      <c r="C146" s="15">
        <v>45292</v>
      </c>
      <c r="D146" s="15">
        <v>45413</v>
      </c>
      <c r="E146">
        <v>0</v>
      </c>
      <c r="F146">
        <v>1</v>
      </c>
      <c r="G146">
        <v>0</v>
      </c>
      <c r="H146">
        <v>1</v>
      </c>
    </row>
    <row r="147" spans="1:8" x14ac:dyDescent="0.3">
      <c r="A147" t="s">
        <v>123</v>
      </c>
      <c r="B147" s="15">
        <v>45418</v>
      </c>
      <c r="C147" s="15">
        <v>45292</v>
      </c>
      <c r="D147" s="15">
        <v>45413</v>
      </c>
      <c r="E147">
        <v>1</v>
      </c>
      <c r="F147">
        <v>0</v>
      </c>
      <c r="G147">
        <v>0</v>
      </c>
      <c r="H147">
        <v>1</v>
      </c>
    </row>
    <row r="148" spans="1:8" x14ac:dyDescent="0.3">
      <c r="A148" t="s">
        <v>225</v>
      </c>
      <c r="B148" s="15">
        <v>45418</v>
      </c>
      <c r="C148" s="15">
        <v>45292</v>
      </c>
      <c r="D148" s="15">
        <v>45413</v>
      </c>
      <c r="E148">
        <v>0</v>
      </c>
      <c r="F148">
        <v>0</v>
      </c>
      <c r="G148">
        <v>1</v>
      </c>
      <c r="H148">
        <v>1</v>
      </c>
    </row>
    <row r="149" spans="1:8" x14ac:dyDescent="0.3">
      <c r="A149" t="s">
        <v>229</v>
      </c>
      <c r="B149" s="15">
        <v>45418</v>
      </c>
      <c r="C149" s="15">
        <v>45292</v>
      </c>
      <c r="D149" s="15">
        <v>45413</v>
      </c>
      <c r="E149">
        <v>1</v>
      </c>
      <c r="F149">
        <v>0</v>
      </c>
      <c r="G149">
        <v>0</v>
      </c>
      <c r="H149">
        <v>1</v>
      </c>
    </row>
    <row r="150" spans="1:8" x14ac:dyDescent="0.3">
      <c r="A150" t="s">
        <v>167</v>
      </c>
      <c r="B150" s="15">
        <v>45418</v>
      </c>
      <c r="C150" s="15">
        <v>45292</v>
      </c>
      <c r="D150" s="15">
        <v>45413</v>
      </c>
      <c r="E150">
        <v>1</v>
      </c>
      <c r="F150">
        <v>0</v>
      </c>
      <c r="G150">
        <v>0</v>
      </c>
      <c r="H150">
        <v>1</v>
      </c>
    </row>
    <row r="151" spans="1:8" x14ac:dyDescent="0.3">
      <c r="A151" t="s">
        <v>121</v>
      </c>
      <c r="B151" s="15">
        <v>45418</v>
      </c>
      <c r="C151" s="15">
        <v>45292</v>
      </c>
      <c r="D151" s="15">
        <v>45413</v>
      </c>
      <c r="E151">
        <v>0</v>
      </c>
      <c r="F151">
        <v>0</v>
      </c>
      <c r="G151">
        <v>1</v>
      </c>
      <c r="H151">
        <v>1</v>
      </c>
    </row>
    <row r="152" spans="1:8" x14ac:dyDescent="0.3">
      <c r="A152" t="s">
        <v>233</v>
      </c>
      <c r="B152" s="15">
        <v>45418</v>
      </c>
      <c r="C152" s="15">
        <v>45292</v>
      </c>
      <c r="D152" s="15">
        <v>45413</v>
      </c>
      <c r="E152">
        <v>1</v>
      </c>
      <c r="F152">
        <v>0</v>
      </c>
      <c r="G152">
        <v>0</v>
      </c>
      <c r="H152">
        <v>1</v>
      </c>
    </row>
    <row r="153" spans="1:8" x14ac:dyDescent="0.3">
      <c r="A153" t="s">
        <v>234</v>
      </c>
      <c r="B153" s="15">
        <v>45418</v>
      </c>
      <c r="C153" s="15">
        <v>45292</v>
      </c>
      <c r="D153" s="15">
        <v>45413</v>
      </c>
      <c r="E153">
        <v>0</v>
      </c>
      <c r="F153">
        <v>0</v>
      </c>
      <c r="G153">
        <v>1</v>
      </c>
      <c r="H153">
        <v>1</v>
      </c>
    </row>
    <row r="154" spans="1:8" x14ac:dyDescent="0.3">
      <c r="A154" t="s">
        <v>117</v>
      </c>
      <c r="B154" s="15">
        <v>45418</v>
      </c>
      <c r="C154" s="15">
        <v>45292</v>
      </c>
      <c r="D154" s="15">
        <v>45413</v>
      </c>
      <c r="E154">
        <v>0</v>
      </c>
      <c r="F154">
        <v>0</v>
      </c>
      <c r="G154">
        <v>1</v>
      </c>
      <c r="H154">
        <v>1</v>
      </c>
    </row>
    <row r="155" spans="1:8" x14ac:dyDescent="0.3">
      <c r="A155" t="s">
        <v>210</v>
      </c>
      <c r="B155" s="15">
        <v>45449</v>
      </c>
      <c r="C155" s="15">
        <v>45292</v>
      </c>
      <c r="D155" s="15">
        <v>45444</v>
      </c>
      <c r="E155">
        <v>1</v>
      </c>
      <c r="F155">
        <v>0</v>
      </c>
      <c r="G155">
        <v>1</v>
      </c>
      <c r="H155">
        <v>2</v>
      </c>
    </row>
    <row r="156" spans="1:8" x14ac:dyDescent="0.3">
      <c r="A156" t="s">
        <v>141</v>
      </c>
      <c r="B156" s="15">
        <v>45449</v>
      </c>
      <c r="C156" s="15">
        <v>45292</v>
      </c>
      <c r="D156" s="15">
        <v>45444</v>
      </c>
      <c r="E156">
        <v>0</v>
      </c>
      <c r="F156">
        <v>0</v>
      </c>
      <c r="G156">
        <v>1</v>
      </c>
      <c r="H156">
        <v>1</v>
      </c>
    </row>
    <row r="157" spans="1:8" x14ac:dyDescent="0.3">
      <c r="A157" t="s">
        <v>126</v>
      </c>
      <c r="B157" s="15">
        <v>45449</v>
      </c>
      <c r="C157" s="15">
        <v>45292</v>
      </c>
      <c r="D157" s="15">
        <v>45444</v>
      </c>
      <c r="E157">
        <v>1</v>
      </c>
      <c r="F157">
        <v>0</v>
      </c>
      <c r="G157">
        <v>0</v>
      </c>
      <c r="H157">
        <v>1</v>
      </c>
    </row>
    <row r="158" spans="1:8" x14ac:dyDescent="0.3">
      <c r="A158" t="s">
        <v>237</v>
      </c>
      <c r="B158" s="15">
        <v>45449</v>
      </c>
      <c r="C158" s="15">
        <v>45292</v>
      </c>
      <c r="D158" s="15">
        <v>45444</v>
      </c>
      <c r="E158">
        <v>0</v>
      </c>
      <c r="F158">
        <v>1</v>
      </c>
      <c r="G158">
        <v>0</v>
      </c>
      <c r="H158">
        <v>1</v>
      </c>
    </row>
    <row r="159" spans="1:8" x14ac:dyDescent="0.3">
      <c r="A159" t="s">
        <v>235</v>
      </c>
      <c r="B159" s="15">
        <v>45449</v>
      </c>
      <c r="C159" s="15">
        <v>45292</v>
      </c>
      <c r="D159" s="15">
        <v>45444</v>
      </c>
      <c r="E159">
        <v>0</v>
      </c>
      <c r="F159">
        <v>0</v>
      </c>
      <c r="G159">
        <v>1</v>
      </c>
      <c r="H159">
        <v>1</v>
      </c>
    </row>
    <row r="160" spans="1:8" x14ac:dyDescent="0.3">
      <c r="A160" t="s">
        <v>200</v>
      </c>
      <c r="B160" s="15">
        <v>45449</v>
      </c>
      <c r="C160" s="15">
        <v>45292</v>
      </c>
      <c r="D160" s="15">
        <v>45444</v>
      </c>
      <c r="E160">
        <v>0</v>
      </c>
      <c r="F160">
        <v>1</v>
      </c>
      <c r="G160">
        <v>0</v>
      </c>
      <c r="H160">
        <v>1</v>
      </c>
    </row>
    <row r="161" spans="1:8" x14ac:dyDescent="0.3">
      <c r="A161" t="s">
        <v>236</v>
      </c>
      <c r="B161" s="15">
        <v>45449</v>
      </c>
      <c r="C161" s="15">
        <v>45292</v>
      </c>
      <c r="D161" s="15">
        <v>45444</v>
      </c>
      <c r="E161">
        <v>0</v>
      </c>
      <c r="F161">
        <v>0</v>
      </c>
      <c r="G161">
        <v>1</v>
      </c>
      <c r="H161">
        <v>1</v>
      </c>
    </row>
    <row r="162" spans="1:8" x14ac:dyDescent="0.3">
      <c r="A162" t="s">
        <v>117</v>
      </c>
      <c r="B162" s="15">
        <v>45449</v>
      </c>
      <c r="C162" s="15">
        <v>45292</v>
      </c>
      <c r="D162" s="15">
        <v>45444</v>
      </c>
      <c r="E162">
        <v>0</v>
      </c>
      <c r="F162">
        <v>1</v>
      </c>
      <c r="G162">
        <v>0</v>
      </c>
      <c r="H162">
        <v>1</v>
      </c>
    </row>
    <row r="163" spans="1:8" x14ac:dyDescent="0.3">
      <c r="A163" t="s">
        <v>239</v>
      </c>
      <c r="B163" s="15">
        <v>45479</v>
      </c>
      <c r="C163" s="15">
        <v>45292</v>
      </c>
      <c r="D163" s="15">
        <v>45474</v>
      </c>
      <c r="E163">
        <v>1</v>
      </c>
      <c r="F163">
        <v>0</v>
      </c>
      <c r="G163">
        <v>0</v>
      </c>
      <c r="H163">
        <v>1</v>
      </c>
    </row>
    <row r="164" spans="1:8" x14ac:dyDescent="0.3">
      <c r="A164" t="s">
        <v>117</v>
      </c>
      <c r="B164" s="15">
        <v>45479</v>
      </c>
      <c r="C164" s="15">
        <v>45292</v>
      </c>
      <c r="D164" s="15">
        <v>45474</v>
      </c>
      <c r="E164">
        <v>1</v>
      </c>
      <c r="F164">
        <v>0</v>
      </c>
      <c r="G164">
        <v>0</v>
      </c>
      <c r="H164">
        <v>1</v>
      </c>
    </row>
    <row r="165" spans="1:8" x14ac:dyDescent="0.3">
      <c r="A165" t="s">
        <v>241</v>
      </c>
      <c r="B165" s="15">
        <v>45479</v>
      </c>
      <c r="C165" s="15">
        <v>45292</v>
      </c>
      <c r="D165" s="15">
        <v>45474</v>
      </c>
      <c r="E165">
        <v>1</v>
      </c>
      <c r="F165">
        <v>0</v>
      </c>
      <c r="G165">
        <v>0</v>
      </c>
      <c r="H165">
        <v>1</v>
      </c>
    </row>
    <row r="166" spans="1:8" x14ac:dyDescent="0.3">
      <c r="A166" t="s">
        <v>240</v>
      </c>
      <c r="B166" s="15">
        <v>45479</v>
      </c>
      <c r="C166" s="15">
        <v>45292</v>
      </c>
      <c r="D166" s="15">
        <v>45474</v>
      </c>
      <c r="E166">
        <v>1</v>
      </c>
      <c r="F166">
        <v>0</v>
      </c>
      <c r="G166">
        <v>0</v>
      </c>
      <c r="H166">
        <v>1</v>
      </c>
    </row>
    <row r="167" spans="1:8" x14ac:dyDescent="0.3">
      <c r="A167" t="s">
        <v>238</v>
      </c>
      <c r="B167" s="15">
        <v>45479</v>
      </c>
      <c r="C167" s="15">
        <v>45292</v>
      </c>
      <c r="D167" s="15">
        <v>45474</v>
      </c>
      <c r="E167">
        <v>1</v>
      </c>
      <c r="F167">
        <v>0</v>
      </c>
      <c r="G167">
        <v>0</v>
      </c>
      <c r="H167">
        <v>1</v>
      </c>
    </row>
    <row r="168" spans="1:8" x14ac:dyDescent="0.3">
      <c r="A168" t="s">
        <v>153</v>
      </c>
      <c r="B168" s="15">
        <v>45479</v>
      </c>
      <c r="C168" s="15">
        <v>45292</v>
      </c>
      <c r="D168" s="15">
        <v>45474</v>
      </c>
      <c r="E168">
        <v>1</v>
      </c>
      <c r="F168">
        <v>0</v>
      </c>
      <c r="G168">
        <v>0</v>
      </c>
      <c r="H168">
        <v>1</v>
      </c>
    </row>
    <row r="169" spans="1:8" x14ac:dyDescent="0.3">
      <c r="A169" t="s">
        <v>167</v>
      </c>
      <c r="B169" s="15">
        <v>45510</v>
      </c>
      <c r="C169" s="15">
        <v>45292</v>
      </c>
      <c r="D169" s="15">
        <v>45505</v>
      </c>
      <c r="E169">
        <v>1</v>
      </c>
      <c r="F169">
        <v>0</v>
      </c>
      <c r="G169">
        <v>0</v>
      </c>
      <c r="H169">
        <v>1</v>
      </c>
    </row>
    <row r="170" spans="1:8" x14ac:dyDescent="0.3">
      <c r="A170" t="s">
        <v>126</v>
      </c>
      <c r="B170" s="15">
        <v>45510</v>
      </c>
      <c r="C170" s="15">
        <v>45292</v>
      </c>
      <c r="D170" s="15">
        <v>45505</v>
      </c>
      <c r="E170">
        <v>0</v>
      </c>
      <c r="F170">
        <v>0</v>
      </c>
      <c r="G170">
        <v>1</v>
      </c>
      <c r="H170">
        <v>1</v>
      </c>
    </row>
    <row r="171" spans="1:8" x14ac:dyDescent="0.3">
      <c r="A171" t="s">
        <v>140</v>
      </c>
      <c r="B171" s="15">
        <v>45510</v>
      </c>
      <c r="C171" s="15">
        <v>45292</v>
      </c>
      <c r="D171" s="15">
        <v>45505</v>
      </c>
      <c r="E171">
        <v>1</v>
      </c>
      <c r="F171">
        <v>0</v>
      </c>
      <c r="G171">
        <v>0</v>
      </c>
      <c r="H171">
        <v>1</v>
      </c>
    </row>
    <row r="172" spans="1:8" x14ac:dyDescent="0.3">
      <c r="A172" t="s">
        <v>200</v>
      </c>
      <c r="B172" s="15">
        <v>45510</v>
      </c>
      <c r="C172" s="15">
        <v>45292</v>
      </c>
      <c r="D172" s="15">
        <v>45505</v>
      </c>
      <c r="E172">
        <v>2</v>
      </c>
      <c r="F172">
        <v>0</v>
      </c>
      <c r="G172">
        <v>0</v>
      </c>
      <c r="H172">
        <v>2</v>
      </c>
    </row>
    <row r="173" spans="1:8" x14ac:dyDescent="0.3">
      <c r="A173" t="s">
        <v>243</v>
      </c>
      <c r="B173" s="15">
        <v>45510</v>
      </c>
      <c r="C173" s="15">
        <v>45292</v>
      </c>
      <c r="D173" s="15">
        <v>45505</v>
      </c>
      <c r="E173">
        <v>1</v>
      </c>
      <c r="F173">
        <v>0</v>
      </c>
      <c r="G173">
        <v>0</v>
      </c>
      <c r="H173">
        <v>1</v>
      </c>
    </row>
    <row r="174" spans="1:8" x14ac:dyDescent="0.3">
      <c r="A174" t="s">
        <v>242</v>
      </c>
      <c r="B174" s="15">
        <v>45510</v>
      </c>
      <c r="C174" s="15">
        <v>45292</v>
      </c>
      <c r="D174" s="15">
        <v>45505</v>
      </c>
      <c r="E174">
        <v>1</v>
      </c>
      <c r="F174">
        <v>0</v>
      </c>
      <c r="G174">
        <v>0</v>
      </c>
      <c r="H174">
        <v>1</v>
      </c>
    </row>
    <row r="175" spans="1:8" x14ac:dyDescent="0.3">
      <c r="A175" t="s">
        <v>244</v>
      </c>
      <c r="B175" s="15">
        <v>45541</v>
      </c>
      <c r="C175" s="15">
        <v>45292</v>
      </c>
      <c r="D175" s="15">
        <v>45536</v>
      </c>
      <c r="E175">
        <v>1</v>
      </c>
      <c r="F175">
        <v>0</v>
      </c>
      <c r="G175">
        <v>0</v>
      </c>
      <c r="H175">
        <v>1</v>
      </c>
    </row>
    <row r="176" spans="1:8" x14ac:dyDescent="0.3">
      <c r="A176" t="s">
        <v>156</v>
      </c>
      <c r="B176" s="15">
        <v>45541</v>
      </c>
      <c r="C176" s="15">
        <v>45292</v>
      </c>
      <c r="D176" s="15">
        <v>45536</v>
      </c>
      <c r="E176">
        <v>1</v>
      </c>
      <c r="F176">
        <v>0</v>
      </c>
      <c r="G176">
        <v>0</v>
      </c>
      <c r="H176">
        <v>1</v>
      </c>
    </row>
    <row r="177" spans="1:8" x14ac:dyDescent="0.3">
      <c r="A177" t="s">
        <v>126</v>
      </c>
      <c r="B177" s="15">
        <v>45541</v>
      </c>
      <c r="C177" s="15">
        <v>45292</v>
      </c>
      <c r="D177" s="15">
        <v>45536</v>
      </c>
      <c r="E177">
        <v>0</v>
      </c>
      <c r="F177">
        <v>0</v>
      </c>
      <c r="G177">
        <v>1</v>
      </c>
      <c r="H177">
        <v>1</v>
      </c>
    </row>
    <row r="178" spans="1:8" x14ac:dyDescent="0.3">
      <c r="A178" t="s">
        <v>197</v>
      </c>
      <c r="B178" s="15">
        <v>45541</v>
      </c>
      <c r="C178" s="15">
        <v>45292</v>
      </c>
      <c r="D178" s="15">
        <v>45536</v>
      </c>
      <c r="E178">
        <v>0</v>
      </c>
      <c r="F178">
        <v>0</v>
      </c>
      <c r="G178">
        <v>1</v>
      </c>
      <c r="H178">
        <v>1</v>
      </c>
    </row>
    <row r="179" spans="1:8" x14ac:dyDescent="0.3">
      <c r="A179" t="s">
        <v>167</v>
      </c>
      <c r="B179" s="15">
        <v>45541</v>
      </c>
      <c r="C179" s="15">
        <v>45292</v>
      </c>
      <c r="D179" s="15">
        <v>45536</v>
      </c>
      <c r="E179">
        <v>1</v>
      </c>
      <c r="F179">
        <v>0</v>
      </c>
      <c r="G179">
        <v>0</v>
      </c>
      <c r="H179">
        <v>1</v>
      </c>
    </row>
    <row r="180" spans="1:8" x14ac:dyDescent="0.3">
      <c r="A180" t="s">
        <v>240</v>
      </c>
      <c r="B180" s="15">
        <v>45541</v>
      </c>
      <c r="C180" s="15">
        <v>45292</v>
      </c>
      <c r="D180" s="15">
        <v>45536</v>
      </c>
      <c r="E180">
        <v>1</v>
      </c>
      <c r="F180">
        <v>0</v>
      </c>
      <c r="G180">
        <v>0</v>
      </c>
      <c r="H180">
        <v>1</v>
      </c>
    </row>
    <row r="181" spans="1:8" x14ac:dyDescent="0.3">
      <c r="A181" t="s">
        <v>245</v>
      </c>
      <c r="B181" s="15">
        <v>45541</v>
      </c>
      <c r="C181" s="15">
        <v>45292</v>
      </c>
      <c r="D181" s="15">
        <v>45536</v>
      </c>
      <c r="E181">
        <v>1</v>
      </c>
      <c r="F181">
        <v>0</v>
      </c>
      <c r="G181">
        <v>0</v>
      </c>
      <c r="H181">
        <v>1</v>
      </c>
    </row>
    <row r="182" spans="1:8" x14ac:dyDescent="0.3">
      <c r="A182" t="s">
        <v>199</v>
      </c>
      <c r="B182" s="15">
        <v>45541</v>
      </c>
      <c r="C182" s="15">
        <v>45292</v>
      </c>
      <c r="D182" s="15">
        <v>45536</v>
      </c>
      <c r="E182">
        <v>1</v>
      </c>
      <c r="F182">
        <v>0</v>
      </c>
      <c r="G182">
        <v>0</v>
      </c>
      <c r="H182">
        <v>1</v>
      </c>
    </row>
    <row r="183" spans="1:8" x14ac:dyDescent="0.3">
      <c r="A183" t="s">
        <v>203</v>
      </c>
      <c r="B183" s="15">
        <v>45541</v>
      </c>
      <c r="C183" s="15">
        <v>45292</v>
      </c>
      <c r="D183" s="15">
        <v>45536</v>
      </c>
      <c r="E183">
        <v>1</v>
      </c>
      <c r="F183">
        <v>0</v>
      </c>
      <c r="G183">
        <v>1</v>
      </c>
      <c r="H183">
        <v>2</v>
      </c>
    </row>
    <row r="184" spans="1:8" x14ac:dyDescent="0.3">
      <c r="A184" t="s">
        <v>122</v>
      </c>
      <c r="B184" s="15">
        <v>45541</v>
      </c>
      <c r="C184" s="15">
        <v>45292</v>
      </c>
      <c r="D184" s="15">
        <v>45536</v>
      </c>
      <c r="E184">
        <v>2</v>
      </c>
      <c r="F184">
        <v>0</v>
      </c>
      <c r="G184">
        <v>2</v>
      </c>
      <c r="H184">
        <v>4</v>
      </c>
    </row>
    <row r="185" spans="1:8" x14ac:dyDescent="0.3">
      <c r="A185" t="s">
        <v>117</v>
      </c>
      <c r="B185" s="15">
        <v>45541</v>
      </c>
      <c r="C185" s="15">
        <v>45292</v>
      </c>
      <c r="D185" s="15">
        <v>45536</v>
      </c>
      <c r="E185">
        <v>1</v>
      </c>
      <c r="F185">
        <v>0</v>
      </c>
      <c r="G185">
        <v>1</v>
      </c>
      <c r="H185">
        <v>2</v>
      </c>
    </row>
    <row r="186" spans="1:8" x14ac:dyDescent="0.3">
      <c r="A186" t="s">
        <v>151</v>
      </c>
      <c r="B186" s="15">
        <v>45541</v>
      </c>
      <c r="C186" s="15">
        <v>45292</v>
      </c>
      <c r="D186" s="15">
        <v>45536</v>
      </c>
      <c r="E186">
        <v>1</v>
      </c>
      <c r="F186">
        <v>0</v>
      </c>
      <c r="G186">
        <v>0</v>
      </c>
      <c r="H186">
        <v>1</v>
      </c>
    </row>
    <row r="187" spans="1:8" x14ac:dyDescent="0.3">
      <c r="A187" t="s">
        <v>246</v>
      </c>
      <c r="B187" s="15">
        <v>45541</v>
      </c>
      <c r="C187" s="15">
        <v>45292</v>
      </c>
      <c r="D187" s="15">
        <v>45536</v>
      </c>
      <c r="E187">
        <v>0</v>
      </c>
      <c r="F187">
        <v>0</v>
      </c>
      <c r="G187">
        <v>1</v>
      </c>
      <c r="H187">
        <v>1</v>
      </c>
    </row>
    <row r="188" spans="1:8" x14ac:dyDescent="0.3">
      <c r="A188" t="s">
        <v>141</v>
      </c>
      <c r="B188" s="15">
        <v>45571</v>
      </c>
      <c r="C188" s="15">
        <v>45292</v>
      </c>
      <c r="D188" s="15">
        <v>45566</v>
      </c>
      <c r="E188">
        <v>1</v>
      </c>
      <c r="F188">
        <v>0</v>
      </c>
      <c r="G188">
        <v>0</v>
      </c>
      <c r="H188">
        <v>1</v>
      </c>
    </row>
    <row r="189" spans="1:8" x14ac:dyDescent="0.3">
      <c r="A189" t="s">
        <v>248</v>
      </c>
      <c r="B189" s="15">
        <v>45571</v>
      </c>
      <c r="C189" s="15">
        <v>45292</v>
      </c>
      <c r="D189" s="15">
        <v>45566</v>
      </c>
      <c r="E189">
        <v>0</v>
      </c>
      <c r="F189">
        <v>1</v>
      </c>
      <c r="G189">
        <v>0</v>
      </c>
      <c r="H189">
        <v>1</v>
      </c>
    </row>
    <row r="190" spans="1:8" x14ac:dyDescent="0.3">
      <c r="A190" t="s">
        <v>153</v>
      </c>
      <c r="B190" s="15">
        <v>45571</v>
      </c>
      <c r="C190" s="15">
        <v>45292</v>
      </c>
      <c r="D190" s="15">
        <v>45566</v>
      </c>
      <c r="E190">
        <v>1</v>
      </c>
      <c r="F190">
        <v>0</v>
      </c>
      <c r="G190">
        <v>0</v>
      </c>
      <c r="H190">
        <v>1</v>
      </c>
    </row>
    <row r="191" spans="1:8" x14ac:dyDescent="0.3">
      <c r="A191" t="s">
        <v>249</v>
      </c>
      <c r="B191" s="15">
        <v>45571</v>
      </c>
      <c r="C191" s="15">
        <v>45292</v>
      </c>
      <c r="D191" s="15">
        <v>45566</v>
      </c>
      <c r="E191">
        <v>0</v>
      </c>
      <c r="F191">
        <v>1</v>
      </c>
      <c r="G191">
        <v>0</v>
      </c>
      <c r="H191">
        <v>1</v>
      </c>
    </row>
    <row r="192" spans="1:8" x14ac:dyDescent="0.3">
      <c r="A192" t="s">
        <v>117</v>
      </c>
      <c r="B192" s="15">
        <v>45571</v>
      </c>
      <c r="C192" s="15">
        <v>45292</v>
      </c>
      <c r="D192" s="15">
        <v>45566</v>
      </c>
      <c r="E192">
        <v>1</v>
      </c>
      <c r="F192">
        <v>0</v>
      </c>
      <c r="G192">
        <v>0</v>
      </c>
      <c r="H192">
        <v>1</v>
      </c>
    </row>
    <row r="193" spans="1:8" x14ac:dyDescent="0.3">
      <c r="A193" t="s">
        <v>200</v>
      </c>
      <c r="B193" s="15">
        <v>45571</v>
      </c>
      <c r="C193" s="15">
        <v>45292</v>
      </c>
      <c r="D193" s="15">
        <v>45566</v>
      </c>
      <c r="E193">
        <v>1</v>
      </c>
      <c r="F193">
        <v>0</v>
      </c>
      <c r="G193">
        <v>0</v>
      </c>
      <c r="H193">
        <v>1</v>
      </c>
    </row>
    <row r="194" spans="1:8" x14ac:dyDescent="0.3">
      <c r="A194" t="s">
        <v>223</v>
      </c>
      <c r="B194" s="15">
        <v>45571</v>
      </c>
      <c r="C194" s="15">
        <v>45292</v>
      </c>
      <c r="D194" s="15">
        <v>45566</v>
      </c>
      <c r="E194">
        <v>1</v>
      </c>
      <c r="F194">
        <v>0</v>
      </c>
      <c r="G194">
        <v>0</v>
      </c>
      <c r="H194">
        <v>1</v>
      </c>
    </row>
    <row r="195" spans="1:8" x14ac:dyDescent="0.3">
      <c r="A195" t="s">
        <v>247</v>
      </c>
      <c r="B195" s="15">
        <v>45571</v>
      </c>
      <c r="C195" s="15">
        <v>45292</v>
      </c>
      <c r="D195" s="15">
        <v>45566</v>
      </c>
      <c r="E195">
        <v>1</v>
      </c>
      <c r="F195">
        <v>0</v>
      </c>
      <c r="G195">
        <v>0</v>
      </c>
      <c r="H195">
        <v>1</v>
      </c>
    </row>
    <row r="196" spans="1:8" x14ac:dyDescent="0.3">
      <c r="A196" t="s">
        <v>200</v>
      </c>
      <c r="B196" s="15">
        <v>45602</v>
      </c>
      <c r="C196" s="15">
        <v>45292</v>
      </c>
      <c r="D196" s="15">
        <v>45597</v>
      </c>
      <c r="E196">
        <v>0</v>
      </c>
      <c r="F196">
        <v>1</v>
      </c>
      <c r="G196">
        <v>0</v>
      </c>
      <c r="H196">
        <v>1</v>
      </c>
    </row>
    <row r="197" spans="1:8" x14ac:dyDescent="0.3">
      <c r="A197" t="s">
        <v>203</v>
      </c>
      <c r="B197" s="15">
        <v>45602</v>
      </c>
      <c r="C197" s="15">
        <v>45292</v>
      </c>
      <c r="D197" s="15">
        <v>45597</v>
      </c>
      <c r="E197">
        <v>0</v>
      </c>
      <c r="F197">
        <v>1</v>
      </c>
      <c r="G197">
        <v>0</v>
      </c>
      <c r="H197">
        <v>1</v>
      </c>
    </row>
    <row r="198" spans="1:8" x14ac:dyDescent="0.3">
      <c r="A198" t="s">
        <v>252</v>
      </c>
      <c r="B198" s="15">
        <v>45602</v>
      </c>
      <c r="C198" s="15">
        <v>45292</v>
      </c>
      <c r="D198" s="15">
        <v>45597</v>
      </c>
      <c r="E198">
        <v>0</v>
      </c>
      <c r="F198">
        <v>1</v>
      </c>
      <c r="G198">
        <v>0</v>
      </c>
      <c r="H198">
        <v>1</v>
      </c>
    </row>
    <row r="199" spans="1:8" x14ac:dyDescent="0.3">
      <c r="A199" t="s">
        <v>126</v>
      </c>
      <c r="B199" s="15">
        <v>45602</v>
      </c>
      <c r="C199" s="15">
        <v>45292</v>
      </c>
      <c r="D199" s="15">
        <v>45597</v>
      </c>
      <c r="E199">
        <v>1</v>
      </c>
      <c r="F199">
        <v>0</v>
      </c>
      <c r="G199">
        <v>1</v>
      </c>
      <c r="H199">
        <v>2</v>
      </c>
    </row>
    <row r="200" spans="1:8" x14ac:dyDescent="0.3">
      <c r="A200" t="s">
        <v>138</v>
      </c>
      <c r="B200" s="15">
        <v>45602</v>
      </c>
      <c r="C200" s="15">
        <v>45292</v>
      </c>
      <c r="D200" s="15">
        <v>45597</v>
      </c>
      <c r="E200">
        <v>0</v>
      </c>
      <c r="F200">
        <v>0</v>
      </c>
      <c r="G200">
        <v>1</v>
      </c>
      <c r="H200">
        <v>1</v>
      </c>
    </row>
    <row r="201" spans="1:8" x14ac:dyDescent="0.3">
      <c r="A201" t="s">
        <v>222</v>
      </c>
      <c r="B201" s="15">
        <v>45602</v>
      </c>
      <c r="C201" s="15">
        <v>45292</v>
      </c>
      <c r="D201" s="15">
        <v>45597</v>
      </c>
      <c r="E201">
        <v>0</v>
      </c>
      <c r="F201">
        <v>0</v>
      </c>
      <c r="G201">
        <v>1</v>
      </c>
      <c r="H201">
        <v>1</v>
      </c>
    </row>
    <row r="202" spans="1:8" x14ac:dyDescent="0.3">
      <c r="A202" t="s">
        <v>251</v>
      </c>
      <c r="B202" s="15">
        <v>45602</v>
      </c>
      <c r="C202" s="15">
        <v>45292</v>
      </c>
      <c r="D202" s="15">
        <v>45597</v>
      </c>
      <c r="E202">
        <v>0</v>
      </c>
      <c r="F202">
        <v>0</v>
      </c>
      <c r="G202">
        <v>1</v>
      </c>
      <c r="H202">
        <v>1</v>
      </c>
    </row>
    <row r="203" spans="1:8" x14ac:dyDescent="0.3">
      <c r="A203" t="s">
        <v>117</v>
      </c>
      <c r="B203" s="15">
        <v>45602</v>
      </c>
      <c r="C203" s="15">
        <v>45292</v>
      </c>
      <c r="D203" s="15">
        <v>45597</v>
      </c>
      <c r="E203">
        <v>0</v>
      </c>
      <c r="F203">
        <v>2</v>
      </c>
      <c r="G203">
        <v>0</v>
      </c>
      <c r="H203">
        <v>2</v>
      </c>
    </row>
    <row r="204" spans="1:8" x14ac:dyDescent="0.3">
      <c r="A204" t="s">
        <v>122</v>
      </c>
      <c r="B204" s="15">
        <v>45602</v>
      </c>
      <c r="C204" s="15">
        <v>45292</v>
      </c>
      <c r="D204" s="15">
        <v>45597</v>
      </c>
      <c r="E204">
        <v>1</v>
      </c>
      <c r="F204">
        <v>0</v>
      </c>
      <c r="G204">
        <v>1</v>
      </c>
      <c r="H204">
        <v>2</v>
      </c>
    </row>
    <row r="205" spans="1:8" x14ac:dyDescent="0.3">
      <c r="A205" t="s">
        <v>250</v>
      </c>
      <c r="B205" s="15">
        <v>45602</v>
      </c>
      <c r="C205" s="15">
        <v>45292</v>
      </c>
      <c r="D205" s="15">
        <v>45597</v>
      </c>
      <c r="E205">
        <v>1</v>
      </c>
      <c r="F205">
        <v>0</v>
      </c>
      <c r="G205">
        <v>0</v>
      </c>
      <c r="H205">
        <v>1</v>
      </c>
    </row>
    <row r="206" spans="1:8" x14ac:dyDescent="0.3">
      <c r="A206" t="s">
        <v>126</v>
      </c>
      <c r="B206" s="15">
        <v>45627</v>
      </c>
      <c r="C206" s="15">
        <v>45292</v>
      </c>
      <c r="D206" s="15">
        <v>45627</v>
      </c>
      <c r="E206">
        <v>0</v>
      </c>
      <c r="F206">
        <v>0</v>
      </c>
      <c r="G206">
        <v>1</v>
      </c>
      <c r="H206">
        <v>1</v>
      </c>
    </row>
    <row r="207" spans="1:8" x14ac:dyDescent="0.3">
      <c r="A207" t="s">
        <v>177</v>
      </c>
      <c r="B207" s="15">
        <v>45627</v>
      </c>
      <c r="C207" s="15">
        <v>45292</v>
      </c>
      <c r="D207" s="15">
        <v>45627</v>
      </c>
      <c r="E207">
        <v>0</v>
      </c>
      <c r="F207">
        <v>1</v>
      </c>
      <c r="G207">
        <v>0</v>
      </c>
      <c r="H207">
        <v>1</v>
      </c>
    </row>
    <row r="208" spans="1:8" x14ac:dyDescent="0.3">
      <c r="A208" t="s">
        <v>117</v>
      </c>
      <c r="B208" s="15">
        <v>45627</v>
      </c>
      <c r="C208" s="15">
        <v>45292</v>
      </c>
      <c r="D208" s="15">
        <v>45627</v>
      </c>
      <c r="E208">
        <v>0</v>
      </c>
      <c r="F208">
        <v>0</v>
      </c>
      <c r="G208">
        <v>1</v>
      </c>
      <c r="H208">
        <v>1</v>
      </c>
    </row>
    <row r="209" spans="1:8" x14ac:dyDescent="0.3">
      <c r="A209" t="s">
        <v>253</v>
      </c>
      <c r="B209" s="15">
        <v>45627</v>
      </c>
      <c r="C209" s="15">
        <v>45292</v>
      </c>
      <c r="D209" s="15">
        <v>45627</v>
      </c>
      <c r="E209">
        <v>0</v>
      </c>
      <c r="F209">
        <v>0</v>
      </c>
      <c r="G209">
        <v>1</v>
      </c>
      <c r="H209">
        <v>1</v>
      </c>
    </row>
    <row r="210" spans="1:8" x14ac:dyDescent="0.3">
      <c r="A210" t="s">
        <v>203</v>
      </c>
      <c r="B210" s="15">
        <v>45627</v>
      </c>
      <c r="C210" s="15">
        <v>45292</v>
      </c>
      <c r="D210" s="15">
        <v>45627</v>
      </c>
      <c r="E210">
        <v>0</v>
      </c>
      <c r="F210">
        <v>0</v>
      </c>
      <c r="G210">
        <v>1</v>
      </c>
      <c r="H210">
        <v>1</v>
      </c>
    </row>
    <row r="211" spans="1:8" x14ac:dyDescent="0.3">
      <c r="A211" t="s">
        <v>123</v>
      </c>
      <c r="B211" s="15">
        <v>45629</v>
      </c>
      <c r="C211" s="15">
        <v>45292</v>
      </c>
      <c r="D211" s="15">
        <v>45627</v>
      </c>
      <c r="E211">
        <v>1</v>
      </c>
      <c r="F211">
        <v>0</v>
      </c>
      <c r="G211">
        <v>0</v>
      </c>
      <c r="H211">
        <v>1</v>
      </c>
    </row>
    <row r="212" spans="1:8" x14ac:dyDescent="0.3">
      <c r="A212" t="s">
        <v>254</v>
      </c>
      <c r="B212" s="15">
        <v>45629</v>
      </c>
      <c r="C212" s="15">
        <v>45292</v>
      </c>
      <c r="D212" s="15">
        <v>45627</v>
      </c>
      <c r="E212">
        <v>1</v>
      </c>
      <c r="F212">
        <v>0</v>
      </c>
      <c r="G212">
        <v>0</v>
      </c>
      <c r="H212">
        <v>1</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DD748-7FF9-46C7-911D-76BE32A0955D}">
  <dimension ref="A1:J67"/>
  <sheetViews>
    <sheetView zoomScale="116" workbookViewId="0">
      <selection activeCell="A2" sqref="A2:J67"/>
    </sheetView>
  </sheetViews>
  <sheetFormatPr defaultRowHeight="14.4" x14ac:dyDescent="0.3"/>
  <cols>
    <col min="1" max="1" width="23" customWidth="1"/>
    <col min="2" max="2" width="14.44140625" customWidth="1"/>
    <col min="3" max="4" width="12.21875" customWidth="1"/>
    <col min="13" max="13" width="10.5546875" bestFit="1" customWidth="1"/>
  </cols>
  <sheetData>
    <row r="1" spans="1:10" x14ac:dyDescent="0.3">
      <c r="A1" s="6" t="s">
        <v>4</v>
      </c>
      <c r="B1" s="6" t="s">
        <v>1</v>
      </c>
      <c r="C1" s="6" t="s">
        <v>265</v>
      </c>
      <c r="D1" s="6" t="s">
        <v>266</v>
      </c>
      <c r="E1" s="14" t="s">
        <v>267</v>
      </c>
      <c r="F1" s="14" t="s">
        <v>268</v>
      </c>
      <c r="G1" s="6" t="s">
        <v>113</v>
      </c>
      <c r="H1" s="6" t="s">
        <v>114</v>
      </c>
      <c r="I1" s="21" t="s">
        <v>115</v>
      </c>
      <c r="J1" s="6" t="s">
        <v>116</v>
      </c>
    </row>
    <row r="2" spans="1:10" x14ac:dyDescent="0.3">
      <c r="A2" t="s">
        <v>32</v>
      </c>
      <c r="B2" s="15">
        <v>43805</v>
      </c>
      <c r="C2" s="15">
        <v>43466</v>
      </c>
      <c r="D2" s="15">
        <v>43800</v>
      </c>
      <c r="E2">
        <v>3</v>
      </c>
      <c r="F2">
        <v>1</v>
      </c>
      <c r="G2">
        <v>0</v>
      </c>
      <c r="H2">
        <v>0</v>
      </c>
      <c r="I2">
        <v>1</v>
      </c>
      <c r="J2">
        <v>1</v>
      </c>
    </row>
    <row r="3" spans="1:10" x14ac:dyDescent="0.3">
      <c r="A3" t="s">
        <v>79</v>
      </c>
      <c r="B3" s="15">
        <v>43805</v>
      </c>
      <c r="C3" s="15">
        <v>43466</v>
      </c>
      <c r="D3" s="15">
        <v>43800</v>
      </c>
      <c r="E3">
        <v>8</v>
      </c>
      <c r="F3">
        <v>4</v>
      </c>
      <c r="G3">
        <v>3</v>
      </c>
      <c r="H3">
        <v>0</v>
      </c>
      <c r="I3">
        <v>1</v>
      </c>
      <c r="J3">
        <v>4</v>
      </c>
    </row>
    <row r="4" spans="1:10" x14ac:dyDescent="0.3">
      <c r="A4" t="s">
        <v>13</v>
      </c>
      <c r="B4" s="15">
        <v>43805</v>
      </c>
      <c r="C4" s="15">
        <v>43466</v>
      </c>
      <c r="D4" s="15">
        <v>43800</v>
      </c>
      <c r="E4">
        <v>2</v>
      </c>
      <c r="F4">
        <v>2</v>
      </c>
      <c r="G4">
        <v>2</v>
      </c>
      <c r="H4">
        <v>0</v>
      </c>
      <c r="I4">
        <v>0</v>
      </c>
      <c r="J4">
        <v>2</v>
      </c>
    </row>
    <row r="5" spans="1:10" x14ac:dyDescent="0.3">
      <c r="A5" t="s">
        <v>32</v>
      </c>
      <c r="B5" s="15">
        <v>44171</v>
      </c>
      <c r="C5" s="15">
        <v>43831</v>
      </c>
      <c r="D5" s="15">
        <v>44166</v>
      </c>
      <c r="E5">
        <v>3</v>
      </c>
      <c r="F5">
        <v>1</v>
      </c>
      <c r="G5">
        <v>1</v>
      </c>
      <c r="H5">
        <v>0</v>
      </c>
      <c r="I5">
        <v>0</v>
      </c>
      <c r="J5">
        <v>1</v>
      </c>
    </row>
    <row r="6" spans="1:10" x14ac:dyDescent="0.3">
      <c r="A6" t="s">
        <v>79</v>
      </c>
      <c r="B6" s="15">
        <v>44171</v>
      </c>
      <c r="C6" s="15">
        <v>43831</v>
      </c>
      <c r="D6" s="15">
        <v>44166</v>
      </c>
      <c r="E6">
        <v>2</v>
      </c>
      <c r="F6">
        <v>2</v>
      </c>
      <c r="G6">
        <v>2</v>
      </c>
      <c r="H6">
        <v>0</v>
      </c>
      <c r="I6">
        <v>0</v>
      </c>
      <c r="J6">
        <v>2</v>
      </c>
    </row>
    <row r="7" spans="1:10" x14ac:dyDescent="0.3">
      <c r="A7" t="s">
        <v>13</v>
      </c>
      <c r="B7" s="15">
        <v>44171</v>
      </c>
      <c r="C7" s="15">
        <v>43831</v>
      </c>
      <c r="D7" s="15">
        <v>44166</v>
      </c>
      <c r="E7">
        <v>2</v>
      </c>
      <c r="F7">
        <v>2</v>
      </c>
      <c r="G7">
        <v>2</v>
      </c>
      <c r="H7">
        <v>0</v>
      </c>
      <c r="I7">
        <v>0</v>
      </c>
      <c r="J7">
        <v>2</v>
      </c>
    </row>
    <row r="8" spans="1:10" x14ac:dyDescent="0.3">
      <c r="A8" t="s">
        <v>92</v>
      </c>
      <c r="B8" s="15">
        <v>44171</v>
      </c>
      <c r="C8" s="15">
        <v>43831</v>
      </c>
      <c r="D8" s="15">
        <v>44166</v>
      </c>
      <c r="E8">
        <v>3</v>
      </c>
      <c r="F8">
        <v>3</v>
      </c>
      <c r="G8">
        <v>1</v>
      </c>
      <c r="H8">
        <v>0</v>
      </c>
      <c r="I8">
        <v>2</v>
      </c>
      <c r="J8">
        <v>3</v>
      </c>
    </row>
    <row r="9" spans="1:10" x14ac:dyDescent="0.3">
      <c r="A9" t="s">
        <v>32</v>
      </c>
      <c r="B9" s="15">
        <v>44536</v>
      </c>
      <c r="C9" s="15">
        <v>44197</v>
      </c>
      <c r="D9" s="15">
        <v>44531</v>
      </c>
      <c r="E9">
        <v>13</v>
      </c>
      <c r="F9">
        <v>9</v>
      </c>
      <c r="G9">
        <v>3</v>
      </c>
      <c r="H9">
        <v>0</v>
      </c>
      <c r="I9">
        <v>6</v>
      </c>
      <c r="J9">
        <v>9</v>
      </c>
    </row>
    <row r="10" spans="1:10" x14ac:dyDescent="0.3">
      <c r="A10" t="s">
        <v>92</v>
      </c>
      <c r="B10" s="15">
        <v>44536</v>
      </c>
      <c r="C10" s="15">
        <v>44197</v>
      </c>
      <c r="D10" s="15">
        <v>44531</v>
      </c>
      <c r="E10">
        <v>9</v>
      </c>
      <c r="F10">
        <v>3</v>
      </c>
      <c r="G10">
        <v>1</v>
      </c>
      <c r="H10">
        <v>0</v>
      </c>
      <c r="I10">
        <v>2</v>
      </c>
      <c r="J10">
        <v>3</v>
      </c>
    </row>
    <row r="11" spans="1:10" x14ac:dyDescent="0.3">
      <c r="A11" t="s">
        <v>6</v>
      </c>
      <c r="B11" s="15">
        <v>44536</v>
      </c>
      <c r="C11" s="15">
        <v>44197</v>
      </c>
      <c r="D11" s="15">
        <v>44531</v>
      </c>
      <c r="E11">
        <v>1</v>
      </c>
      <c r="F11">
        <v>1</v>
      </c>
      <c r="G11">
        <v>1</v>
      </c>
      <c r="H11">
        <v>0</v>
      </c>
      <c r="I11">
        <v>0</v>
      </c>
      <c r="J11">
        <v>1</v>
      </c>
    </row>
    <row r="12" spans="1:10" x14ac:dyDescent="0.3">
      <c r="A12" t="s">
        <v>79</v>
      </c>
      <c r="B12" s="15">
        <v>44536</v>
      </c>
      <c r="C12" s="15">
        <v>44197</v>
      </c>
      <c r="D12" s="15">
        <v>44531</v>
      </c>
      <c r="E12">
        <v>14</v>
      </c>
      <c r="F12">
        <v>9</v>
      </c>
      <c r="G12">
        <v>5</v>
      </c>
      <c r="H12">
        <v>1</v>
      </c>
      <c r="I12">
        <v>3</v>
      </c>
      <c r="J12">
        <v>9</v>
      </c>
    </row>
    <row r="13" spans="1:10" x14ac:dyDescent="0.3">
      <c r="A13" t="s">
        <v>13</v>
      </c>
      <c r="B13" s="15">
        <v>44536</v>
      </c>
      <c r="C13" s="15">
        <v>44197</v>
      </c>
      <c r="D13" s="15">
        <v>44531</v>
      </c>
      <c r="E13">
        <v>1</v>
      </c>
      <c r="F13">
        <v>1</v>
      </c>
      <c r="G13">
        <v>1</v>
      </c>
      <c r="H13">
        <v>0</v>
      </c>
      <c r="I13">
        <v>0</v>
      </c>
      <c r="J13">
        <v>1</v>
      </c>
    </row>
    <row r="14" spans="1:10" x14ac:dyDescent="0.3">
      <c r="A14" t="s">
        <v>6</v>
      </c>
      <c r="B14" s="15">
        <v>44901</v>
      </c>
      <c r="C14" s="15">
        <v>44562</v>
      </c>
      <c r="D14" s="15">
        <v>44896</v>
      </c>
      <c r="E14">
        <v>3</v>
      </c>
      <c r="F14">
        <v>1</v>
      </c>
      <c r="G14">
        <v>1</v>
      </c>
      <c r="H14">
        <v>0</v>
      </c>
      <c r="I14">
        <v>0</v>
      </c>
      <c r="J14">
        <v>1</v>
      </c>
    </row>
    <row r="15" spans="1:10" x14ac:dyDescent="0.3">
      <c r="A15" t="s">
        <v>90</v>
      </c>
      <c r="B15" s="15">
        <v>44901</v>
      </c>
      <c r="C15" s="15">
        <v>44562</v>
      </c>
      <c r="D15" s="15">
        <v>44896</v>
      </c>
      <c r="E15">
        <v>2</v>
      </c>
      <c r="F15">
        <v>2</v>
      </c>
      <c r="G15">
        <v>0</v>
      </c>
      <c r="H15">
        <v>2</v>
      </c>
      <c r="I15">
        <v>0</v>
      </c>
      <c r="J15">
        <v>2</v>
      </c>
    </row>
    <row r="16" spans="1:10" x14ac:dyDescent="0.3">
      <c r="A16" t="s">
        <v>13</v>
      </c>
      <c r="B16" s="15">
        <v>44901</v>
      </c>
      <c r="C16" s="15">
        <v>44562</v>
      </c>
      <c r="D16" s="15">
        <v>44896</v>
      </c>
      <c r="E16">
        <v>5</v>
      </c>
      <c r="F16">
        <v>2</v>
      </c>
      <c r="G16">
        <v>2</v>
      </c>
      <c r="H16">
        <v>0</v>
      </c>
      <c r="I16">
        <v>0</v>
      </c>
      <c r="J16">
        <v>2</v>
      </c>
    </row>
    <row r="17" spans="1:10" x14ac:dyDescent="0.3">
      <c r="A17" t="s">
        <v>92</v>
      </c>
      <c r="B17" s="15">
        <v>44901</v>
      </c>
      <c r="C17" s="15">
        <v>44562</v>
      </c>
      <c r="D17" s="15">
        <v>44896</v>
      </c>
      <c r="E17">
        <v>12</v>
      </c>
      <c r="F17">
        <v>6</v>
      </c>
      <c r="G17">
        <v>5</v>
      </c>
      <c r="H17">
        <v>0</v>
      </c>
      <c r="I17">
        <v>1</v>
      </c>
      <c r="J17">
        <v>6</v>
      </c>
    </row>
    <row r="18" spans="1:10" x14ac:dyDescent="0.3">
      <c r="A18" t="s">
        <v>79</v>
      </c>
      <c r="B18" s="15">
        <v>44901</v>
      </c>
      <c r="C18" s="15">
        <v>44562</v>
      </c>
      <c r="D18" s="15">
        <v>44896</v>
      </c>
      <c r="E18">
        <v>19</v>
      </c>
      <c r="F18">
        <v>9</v>
      </c>
      <c r="G18">
        <v>4</v>
      </c>
      <c r="H18">
        <v>2</v>
      </c>
      <c r="I18">
        <v>3</v>
      </c>
      <c r="J18">
        <v>9</v>
      </c>
    </row>
    <row r="19" spans="1:10" x14ac:dyDescent="0.3">
      <c r="A19" t="s">
        <v>32</v>
      </c>
      <c r="B19" s="15">
        <v>44901</v>
      </c>
      <c r="C19" s="15">
        <v>44562</v>
      </c>
      <c r="D19" s="15">
        <v>44896</v>
      </c>
      <c r="E19">
        <v>17</v>
      </c>
      <c r="F19">
        <v>10</v>
      </c>
      <c r="G19">
        <v>5</v>
      </c>
      <c r="H19">
        <v>1</v>
      </c>
      <c r="I19">
        <v>4</v>
      </c>
      <c r="J19">
        <v>10</v>
      </c>
    </row>
    <row r="20" spans="1:10" x14ac:dyDescent="0.3">
      <c r="A20" t="s">
        <v>92</v>
      </c>
      <c r="B20" s="15">
        <v>45266</v>
      </c>
      <c r="C20" s="15">
        <v>44927</v>
      </c>
      <c r="D20" s="15">
        <v>45261</v>
      </c>
      <c r="E20">
        <v>42</v>
      </c>
      <c r="F20">
        <v>17</v>
      </c>
      <c r="G20">
        <v>12</v>
      </c>
      <c r="H20">
        <v>0</v>
      </c>
      <c r="I20">
        <v>5</v>
      </c>
      <c r="J20">
        <v>17</v>
      </c>
    </row>
    <row r="21" spans="1:10" x14ac:dyDescent="0.3">
      <c r="A21" t="s">
        <v>90</v>
      </c>
      <c r="B21" s="15">
        <v>45266</v>
      </c>
      <c r="C21" s="15">
        <v>44927</v>
      </c>
      <c r="D21" s="15">
        <v>45261</v>
      </c>
      <c r="E21">
        <v>3</v>
      </c>
      <c r="F21">
        <v>2</v>
      </c>
      <c r="G21">
        <v>1</v>
      </c>
      <c r="H21">
        <v>0</v>
      </c>
      <c r="I21">
        <v>1</v>
      </c>
      <c r="J21">
        <v>2</v>
      </c>
    </row>
    <row r="22" spans="1:10" x14ac:dyDescent="0.3">
      <c r="A22" t="s">
        <v>79</v>
      </c>
      <c r="B22" s="15">
        <v>45266</v>
      </c>
      <c r="C22" s="15">
        <v>44927</v>
      </c>
      <c r="D22" s="15">
        <v>45261</v>
      </c>
      <c r="E22">
        <v>64</v>
      </c>
      <c r="F22">
        <v>29</v>
      </c>
      <c r="G22">
        <v>18</v>
      </c>
      <c r="H22">
        <v>4</v>
      </c>
      <c r="I22">
        <v>7</v>
      </c>
      <c r="J22">
        <v>29</v>
      </c>
    </row>
    <row r="23" spans="1:10" x14ac:dyDescent="0.3">
      <c r="A23" t="s">
        <v>6</v>
      </c>
      <c r="B23" s="15">
        <v>45266</v>
      </c>
      <c r="C23" s="15">
        <v>44927</v>
      </c>
      <c r="D23" s="15">
        <v>45261</v>
      </c>
      <c r="E23">
        <v>10</v>
      </c>
      <c r="F23">
        <v>4</v>
      </c>
      <c r="G23">
        <v>4</v>
      </c>
      <c r="H23">
        <v>0</v>
      </c>
      <c r="I23">
        <v>0</v>
      </c>
      <c r="J23">
        <v>4</v>
      </c>
    </row>
    <row r="24" spans="1:10" x14ac:dyDescent="0.3">
      <c r="A24" t="s">
        <v>32</v>
      </c>
      <c r="B24" s="15">
        <v>45266</v>
      </c>
      <c r="C24" s="15">
        <v>44927</v>
      </c>
      <c r="D24" s="15">
        <v>45261</v>
      </c>
      <c r="E24">
        <v>49</v>
      </c>
      <c r="F24">
        <v>25</v>
      </c>
      <c r="G24">
        <v>12</v>
      </c>
      <c r="H24">
        <v>9</v>
      </c>
      <c r="I24">
        <v>4</v>
      </c>
      <c r="J24">
        <v>25</v>
      </c>
    </row>
    <row r="25" spans="1:10" x14ac:dyDescent="0.3">
      <c r="A25" t="s">
        <v>13</v>
      </c>
      <c r="B25" s="15">
        <v>45266</v>
      </c>
      <c r="C25" s="15">
        <v>44927</v>
      </c>
      <c r="D25" s="15">
        <v>45261</v>
      </c>
      <c r="E25">
        <v>19</v>
      </c>
      <c r="F25">
        <v>5</v>
      </c>
      <c r="G25">
        <v>4</v>
      </c>
      <c r="H25">
        <v>0</v>
      </c>
      <c r="I25">
        <v>1</v>
      </c>
      <c r="J25">
        <v>5</v>
      </c>
    </row>
    <row r="26" spans="1:10" x14ac:dyDescent="0.3">
      <c r="A26" t="s">
        <v>91</v>
      </c>
      <c r="B26" s="15">
        <v>45266</v>
      </c>
      <c r="C26" s="15">
        <v>44927</v>
      </c>
      <c r="D26" s="15">
        <v>45261</v>
      </c>
      <c r="E26">
        <v>14</v>
      </c>
      <c r="F26">
        <v>4</v>
      </c>
      <c r="G26">
        <v>3</v>
      </c>
      <c r="H26">
        <v>0</v>
      </c>
      <c r="I26">
        <v>1</v>
      </c>
      <c r="J26">
        <v>4</v>
      </c>
    </row>
    <row r="27" spans="1:10" x14ac:dyDescent="0.3">
      <c r="A27" t="s">
        <v>79</v>
      </c>
      <c r="B27" s="15">
        <v>45297</v>
      </c>
      <c r="C27" s="15">
        <v>45292</v>
      </c>
      <c r="D27" s="15">
        <v>45292</v>
      </c>
      <c r="E27">
        <v>1</v>
      </c>
      <c r="F27">
        <v>1</v>
      </c>
      <c r="G27">
        <v>1</v>
      </c>
      <c r="H27">
        <v>0</v>
      </c>
      <c r="I27">
        <v>0</v>
      </c>
      <c r="J27">
        <v>1</v>
      </c>
    </row>
    <row r="28" spans="1:10" x14ac:dyDescent="0.3">
      <c r="A28" t="s">
        <v>32</v>
      </c>
      <c r="B28" s="15">
        <v>45297</v>
      </c>
      <c r="C28" s="15">
        <v>45292</v>
      </c>
      <c r="D28" s="15">
        <v>45292</v>
      </c>
      <c r="E28">
        <v>1</v>
      </c>
      <c r="F28">
        <v>1</v>
      </c>
      <c r="G28">
        <v>1</v>
      </c>
      <c r="H28">
        <v>0</v>
      </c>
      <c r="I28">
        <v>0</v>
      </c>
      <c r="J28">
        <v>1</v>
      </c>
    </row>
    <row r="29" spans="1:10" x14ac:dyDescent="0.3">
      <c r="A29" t="s">
        <v>79</v>
      </c>
      <c r="B29" s="15">
        <v>45328</v>
      </c>
      <c r="C29" s="15">
        <v>45292</v>
      </c>
      <c r="D29" s="15">
        <v>45323</v>
      </c>
      <c r="E29">
        <v>1</v>
      </c>
      <c r="F29">
        <v>1</v>
      </c>
      <c r="G29">
        <v>1</v>
      </c>
      <c r="H29">
        <v>0</v>
      </c>
      <c r="I29">
        <v>0</v>
      </c>
      <c r="J29">
        <v>1</v>
      </c>
    </row>
    <row r="30" spans="1:10" x14ac:dyDescent="0.3">
      <c r="A30" t="s">
        <v>32</v>
      </c>
      <c r="B30" s="15">
        <v>45328</v>
      </c>
      <c r="C30" s="15">
        <v>45292</v>
      </c>
      <c r="D30" s="15">
        <v>45323</v>
      </c>
      <c r="E30">
        <v>2</v>
      </c>
      <c r="F30">
        <v>2</v>
      </c>
      <c r="G30">
        <v>1</v>
      </c>
      <c r="H30">
        <v>1</v>
      </c>
      <c r="I30">
        <v>0</v>
      </c>
      <c r="J30">
        <v>2</v>
      </c>
    </row>
    <row r="31" spans="1:10" x14ac:dyDescent="0.3">
      <c r="A31" t="s">
        <v>6</v>
      </c>
      <c r="B31" s="15">
        <v>45328</v>
      </c>
      <c r="C31" s="15">
        <v>45292</v>
      </c>
      <c r="D31" s="15">
        <v>45323</v>
      </c>
      <c r="E31">
        <v>1</v>
      </c>
      <c r="F31">
        <v>1</v>
      </c>
      <c r="G31">
        <v>1</v>
      </c>
      <c r="H31">
        <v>0</v>
      </c>
      <c r="I31">
        <v>0</v>
      </c>
      <c r="J31">
        <v>1</v>
      </c>
    </row>
    <row r="32" spans="1:10" x14ac:dyDescent="0.3">
      <c r="A32" t="s">
        <v>92</v>
      </c>
      <c r="B32" s="15">
        <v>45328</v>
      </c>
      <c r="C32" s="15">
        <v>45292</v>
      </c>
      <c r="D32" s="15">
        <v>45323</v>
      </c>
      <c r="E32">
        <v>2</v>
      </c>
      <c r="F32">
        <v>2</v>
      </c>
      <c r="G32">
        <v>2</v>
      </c>
      <c r="H32">
        <v>0</v>
      </c>
      <c r="I32">
        <v>0</v>
      </c>
      <c r="J32">
        <v>2</v>
      </c>
    </row>
    <row r="33" spans="1:10" x14ac:dyDescent="0.3">
      <c r="A33" t="s">
        <v>13</v>
      </c>
      <c r="B33" s="15">
        <v>45328</v>
      </c>
      <c r="C33" s="15">
        <v>45292</v>
      </c>
      <c r="D33" s="15">
        <v>45323</v>
      </c>
      <c r="E33">
        <v>2</v>
      </c>
      <c r="F33">
        <v>1</v>
      </c>
      <c r="G33">
        <v>0</v>
      </c>
      <c r="H33">
        <v>0</v>
      </c>
      <c r="I33">
        <v>1</v>
      </c>
      <c r="J33">
        <v>1</v>
      </c>
    </row>
    <row r="34" spans="1:10" x14ac:dyDescent="0.3">
      <c r="A34" t="s">
        <v>32</v>
      </c>
      <c r="B34" s="15">
        <v>45357</v>
      </c>
      <c r="C34" s="15">
        <v>45292</v>
      </c>
      <c r="D34" s="15">
        <v>45352</v>
      </c>
      <c r="E34">
        <v>10</v>
      </c>
      <c r="F34">
        <v>8</v>
      </c>
      <c r="G34">
        <v>7</v>
      </c>
      <c r="H34">
        <v>1</v>
      </c>
      <c r="I34">
        <v>0</v>
      </c>
      <c r="J34">
        <v>8</v>
      </c>
    </row>
    <row r="35" spans="1:10" x14ac:dyDescent="0.3">
      <c r="A35" t="s">
        <v>79</v>
      </c>
      <c r="B35" s="15">
        <v>45357</v>
      </c>
      <c r="C35" s="15">
        <v>45292</v>
      </c>
      <c r="D35" s="15">
        <v>45352</v>
      </c>
      <c r="E35">
        <v>4</v>
      </c>
      <c r="F35">
        <v>3</v>
      </c>
      <c r="G35">
        <v>3</v>
      </c>
      <c r="H35">
        <v>0</v>
      </c>
      <c r="I35">
        <v>0</v>
      </c>
      <c r="J35">
        <v>3</v>
      </c>
    </row>
    <row r="36" spans="1:10" x14ac:dyDescent="0.3">
      <c r="A36" t="s">
        <v>13</v>
      </c>
      <c r="B36" s="15">
        <v>45357</v>
      </c>
      <c r="C36" s="15">
        <v>45292</v>
      </c>
      <c r="D36" s="15">
        <v>45352</v>
      </c>
      <c r="E36">
        <v>6</v>
      </c>
      <c r="F36">
        <v>3</v>
      </c>
      <c r="G36">
        <v>0</v>
      </c>
      <c r="H36">
        <v>3</v>
      </c>
      <c r="I36">
        <v>0</v>
      </c>
      <c r="J36">
        <v>3</v>
      </c>
    </row>
    <row r="37" spans="1:10" x14ac:dyDescent="0.3">
      <c r="A37" t="s">
        <v>13</v>
      </c>
      <c r="B37" s="15">
        <v>45388</v>
      </c>
      <c r="C37" s="15">
        <v>45292</v>
      </c>
      <c r="D37" s="15">
        <v>45383</v>
      </c>
      <c r="E37">
        <v>1</v>
      </c>
      <c r="F37">
        <v>1</v>
      </c>
      <c r="G37">
        <v>1</v>
      </c>
      <c r="H37">
        <v>0</v>
      </c>
      <c r="I37">
        <v>0</v>
      </c>
      <c r="J37">
        <v>1</v>
      </c>
    </row>
    <row r="38" spans="1:10" x14ac:dyDescent="0.3">
      <c r="A38" t="s">
        <v>32</v>
      </c>
      <c r="B38" s="15">
        <v>45388</v>
      </c>
      <c r="C38" s="15">
        <v>45292</v>
      </c>
      <c r="D38" s="15">
        <v>45383</v>
      </c>
      <c r="E38">
        <v>2</v>
      </c>
      <c r="F38">
        <v>2</v>
      </c>
      <c r="G38">
        <v>1</v>
      </c>
      <c r="H38">
        <v>0</v>
      </c>
      <c r="I38">
        <v>1</v>
      </c>
      <c r="J38">
        <v>2</v>
      </c>
    </row>
    <row r="39" spans="1:10" x14ac:dyDescent="0.3">
      <c r="A39" t="s">
        <v>79</v>
      </c>
      <c r="B39" s="15">
        <v>45418</v>
      </c>
      <c r="C39" s="15">
        <v>45292</v>
      </c>
      <c r="D39" s="15">
        <v>45413</v>
      </c>
      <c r="E39">
        <v>12</v>
      </c>
      <c r="F39">
        <v>5</v>
      </c>
      <c r="G39">
        <v>1</v>
      </c>
      <c r="H39">
        <v>1</v>
      </c>
      <c r="I39">
        <v>3</v>
      </c>
      <c r="J39">
        <v>5</v>
      </c>
    </row>
    <row r="40" spans="1:10" x14ac:dyDescent="0.3">
      <c r="A40" t="s">
        <v>32</v>
      </c>
      <c r="B40" s="15">
        <v>45418</v>
      </c>
      <c r="C40" s="15">
        <v>45292</v>
      </c>
      <c r="D40" s="15">
        <v>45413</v>
      </c>
      <c r="E40">
        <v>18</v>
      </c>
      <c r="F40">
        <v>6</v>
      </c>
      <c r="G40">
        <v>1</v>
      </c>
      <c r="H40">
        <v>1</v>
      </c>
      <c r="I40">
        <v>4</v>
      </c>
      <c r="J40">
        <v>6</v>
      </c>
    </row>
    <row r="41" spans="1:10" x14ac:dyDescent="0.3">
      <c r="A41" t="s">
        <v>13</v>
      </c>
      <c r="B41" s="15">
        <v>45418</v>
      </c>
      <c r="C41" s="15">
        <v>45292</v>
      </c>
      <c r="D41" s="15">
        <v>45413</v>
      </c>
      <c r="E41">
        <v>22</v>
      </c>
      <c r="F41">
        <v>6</v>
      </c>
      <c r="G41">
        <v>3</v>
      </c>
      <c r="H41">
        <v>0</v>
      </c>
      <c r="I41">
        <v>3</v>
      </c>
      <c r="J41">
        <v>6</v>
      </c>
    </row>
    <row r="42" spans="1:10" x14ac:dyDescent="0.3">
      <c r="A42" t="s">
        <v>92</v>
      </c>
      <c r="B42" s="15">
        <v>45418</v>
      </c>
      <c r="C42" s="15">
        <v>45292</v>
      </c>
      <c r="D42" s="15">
        <v>45413</v>
      </c>
      <c r="E42">
        <v>4</v>
      </c>
      <c r="F42">
        <v>1</v>
      </c>
      <c r="G42">
        <v>1</v>
      </c>
      <c r="H42">
        <v>0</v>
      </c>
      <c r="I42">
        <v>0</v>
      </c>
      <c r="J42">
        <v>1</v>
      </c>
    </row>
    <row r="43" spans="1:10" x14ac:dyDescent="0.3">
      <c r="A43" t="s">
        <v>32</v>
      </c>
      <c r="B43" s="15">
        <v>45449</v>
      </c>
      <c r="C43" s="15">
        <v>45292</v>
      </c>
      <c r="D43" s="15">
        <v>45444</v>
      </c>
      <c r="E43">
        <v>15</v>
      </c>
      <c r="F43">
        <v>5</v>
      </c>
      <c r="G43">
        <v>1</v>
      </c>
      <c r="H43">
        <v>2</v>
      </c>
      <c r="I43">
        <v>2</v>
      </c>
      <c r="J43">
        <v>5</v>
      </c>
    </row>
    <row r="44" spans="1:10" x14ac:dyDescent="0.3">
      <c r="A44" t="s">
        <v>92</v>
      </c>
      <c r="B44" s="15">
        <v>45449</v>
      </c>
      <c r="C44" s="15">
        <v>45292</v>
      </c>
      <c r="D44" s="15">
        <v>45444</v>
      </c>
      <c r="E44">
        <v>3</v>
      </c>
      <c r="F44">
        <v>3</v>
      </c>
      <c r="G44">
        <v>1</v>
      </c>
      <c r="H44">
        <v>0</v>
      </c>
      <c r="I44">
        <v>2</v>
      </c>
      <c r="J44">
        <v>3</v>
      </c>
    </row>
    <row r="45" spans="1:10" x14ac:dyDescent="0.3">
      <c r="A45" t="s">
        <v>79</v>
      </c>
      <c r="B45" s="15">
        <v>45449</v>
      </c>
      <c r="C45" s="15">
        <v>45292</v>
      </c>
      <c r="D45" s="15">
        <v>45444</v>
      </c>
      <c r="E45">
        <v>2</v>
      </c>
      <c r="F45">
        <v>1</v>
      </c>
      <c r="G45">
        <v>0</v>
      </c>
      <c r="H45">
        <v>1</v>
      </c>
      <c r="I45">
        <v>0</v>
      </c>
      <c r="J45">
        <v>1</v>
      </c>
    </row>
    <row r="46" spans="1:10" x14ac:dyDescent="0.3">
      <c r="A46" t="s">
        <v>32</v>
      </c>
      <c r="B46" s="15">
        <v>45479</v>
      </c>
      <c r="C46" s="15">
        <v>45292</v>
      </c>
      <c r="D46" s="15">
        <v>45474</v>
      </c>
      <c r="E46">
        <v>8</v>
      </c>
      <c r="F46">
        <v>4</v>
      </c>
      <c r="G46">
        <v>4</v>
      </c>
      <c r="H46">
        <v>0</v>
      </c>
      <c r="I46">
        <v>0</v>
      </c>
      <c r="J46">
        <v>4</v>
      </c>
    </row>
    <row r="47" spans="1:10" x14ac:dyDescent="0.3">
      <c r="A47" t="s">
        <v>79</v>
      </c>
      <c r="B47" s="15">
        <v>45479</v>
      </c>
      <c r="C47" s="15">
        <v>45292</v>
      </c>
      <c r="D47" s="15">
        <v>45474</v>
      </c>
      <c r="E47">
        <v>2</v>
      </c>
      <c r="F47">
        <v>2</v>
      </c>
      <c r="G47">
        <v>2</v>
      </c>
      <c r="H47">
        <v>0</v>
      </c>
      <c r="I47">
        <v>0</v>
      </c>
      <c r="J47">
        <v>2</v>
      </c>
    </row>
    <row r="48" spans="1:10" x14ac:dyDescent="0.3">
      <c r="A48" t="s">
        <v>32</v>
      </c>
      <c r="B48" s="15">
        <v>45510</v>
      </c>
      <c r="C48" s="15">
        <v>45292</v>
      </c>
      <c r="D48" s="15">
        <v>45505</v>
      </c>
      <c r="E48">
        <v>6</v>
      </c>
      <c r="F48">
        <v>3</v>
      </c>
      <c r="G48">
        <v>3</v>
      </c>
      <c r="H48">
        <v>0</v>
      </c>
      <c r="I48">
        <v>0</v>
      </c>
      <c r="J48">
        <v>3</v>
      </c>
    </row>
    <row r="49" spans="1:10" x14ac:dyDescent="0.3">
      <c r="A49" t="s">
        <v>79</v>
      </c>
      <c r="B49" s="15">
        <v>45510</v>
      </c>
      <c r="C49" s="15">
        <v>45292</v>
      </c>
      <c r="D49" s="15">
        <v>45505</v>
      </c>
      <c r="E49">
        <v>2</v>
      </c>
      <c r="F49">
        <v>2</v>
      </c>
      <c r="G49">
        <v>2</v>
      </c>
      <c r="H49">
        <v>0</v>
      </c>
      <c r="I49">
        <v>0</v>
      </c>
      <c r="J49">
        <v>2</v>
      </c>
    </row>
    <row r="50" spans="1:10" x14ac:dyDescent="0.3">
      <c r="A50" t="s">
        <v>92</v>
      </c>
      <c r="B50" s="15">
        <v>45510</v>
      </c>
      <c r="C50" s="15">
        <v>45292</v>
      </c>
      <c r="D50" s="15">
        <v>45505</v>
      </c>
      <c r="E50">
        <v>5</v>
      </c>
      <c r="F50">
        <v>1</v>
      </c>
      <c r="G50">
        <v>0</v>
      </c>
      <c r="H50">
        <v>0</v>
      </c>
      <c r="I50">
        <v>1</v>
      </c>
      <c r="J50">
        <v>1</v>
      </c>
    </row>
    <row r="51" spans="1:10" x14ac:dyDescent="0.3">
      <c r="A51" t="s">
        <v>91</v>
      </c>
      <c r="B51" s="15">
        <v>45510</v>
      </c>
      <c r="C51" s="15">
        <v>45292</v>
      </c>
      <c r="D51" s="15">
        <v>45505</v>
      </c>
      <c r="E51">
        <v>1</v>
      </c>
      <c r="F51">
        <v>1</v>
      </c>
      <c r="G51">
        <v>1</v>
      </c>
      <c r="H51">
        <v>0</v>
      </c>
      <c r="I51">
        <v>0</v>
      </c>
      <c r="J51">
        <v>1</v>
      </c>
    </row>
    <row r="52" spans="1:10" x14ac:dyDescent="0.3">
      <c r="A52" t="s">
        <v>32</v>
      </c>
      <c r="B52" s="15">
        <v>45541</v>
      </c>
      <c r="C52" s="15">
        <v>45292</v>
      </c>
      <c r="D52" s="15">
        <v>45536</v>
      </c>
      <c r="E52">
        <v>13</v>
      </c>
      <c r="F52">
        <v>6</v>
      </c>
      <c r="G52">
        <v>4</v>
      </c>
      <c r="H52">
        <v>0</v>
      </c>
      <c r="I52">
        <v>2</v>
      </c>
      <c r="J52">
        <v>6</v>
      </c>
    </row>
    <row r="53" spans="1:10" x14ac:dyDescent="0.3">
      <c r="A53" t="s">
        <v>79</v>
      </c>
      <c r="B53" s="15">
        <v>45541</v>
      </c>
      <c r="C53" s="15">
        <v>45292</v>
      </c>
      <c r="D53" s="15">
        <v>45536</v>
      </c>
      <c r="E53">
        <v>4</v>
      </c>
      <c r="F53">
        <v>4</v>
      </c>
      <c r="G53">
        <v>2</v>
      </c>
      <c r="H53">
        <v>0</v>
      </c>
      <c r="I53">
        <v>2</v>
      </c>
      <c r="J53">
        <v>4</v>
      </c>
    </row>
    <row r="54" spans="1:10" x14ac:dyDescent="0.3">
      <c r="A54" t="s">
        <v>92</v>
      </c>
      <c r="B54" s="15">
        <v>45541</v>
      </c>
      <c r="C54" s="15">
        <v>45292</v>
      </c>
      <c r="D54" s="15">
        <v>45536</v>
      </c>
      <c r="E54">
        <v>6</v>
      </c>
      <c r="F54">
        <v>3</v>
      </c>
      <c r="G54">
        <v>2</v>
      </c>
      <c r="H54">
        <v>0</v>
      </c>
      <c r="I54">
        <v>1</v>
      </c>
      <c r="J54">
        <v>3</v>
      </c>
    </row>
    <row r="55" spans="1:10" x14ac:dyDescent="0.3">
      <c r="A55" t="s">
        <v>13</v>
      </c>
      <c r="B55" s="15">
        <v>45541</v>
      </c>
      <c r="C55" s="15">
        <v>45292</v>
      </c>
      <c r="D55" s="15">
        <v>45536</v>
      </c>
      <c r="E55">
        <v>11</v>
      </c>
      <c r="F55">
        <v>4</v>
      </c>
      <c r="G55">
        <v>2</v>
      </c>
      <c r="H55">
        <v>0</v>
      </c>
      <c r="I55">
        <v>2</v>
      </c>
      <c r="J55">
        <v>4</v>
      </c>
    </row>
    <row r="56" spans="1:10" x14ac:dyDescent="0.3">
      <c r="A56" t="s">
        <v>6</v>
      </c>
      <c r="B56" s="15">
        <v>45541</v>
      </c>
      <c r="C56" s="15">
        <v>45292</v>
      </c>
      <c r="D56" s="15">
        <v>45536</v>
      </c>
      <c r="E56">
        <v>1</v>
      </c>
      <c r="F56">
        <v>1</v>
      </c>
      <c r="G56">
        <v>1</v>
      </c>
      <c r="H56">
        <v>0</v>
      </c>
      <c r="I56">
        <v>0</v>
      </c>
      <c r="J56">
        <v>1</v>
      </c>
    </row>
    <row r="57" spans="1:10" x14ac:dyDescent="0.3">
      <c r="A57" t="s">
        <v>32</v>
      </c>
      <c r="B57" s="15">
        <v>45571</v>
      </c>
      <c r="C57" s="15">
        <v>45292</v>
      </c>
      <c r="D57" s="15">
        <v>45566</v>
      </c>
      <c r="E57">
        <v>9</v>
      </c>
      <c r="F57">
        <v>7</v>
      </c>
      <c r="G57">
        <v>5</v>
      </c>
      <c r="H57">
        <v>2</v>
      </c>
      <c r="I57">
        <v>0</v>
      </c>
      <c r="J57">
        <v>7</v>
      </c>
    </row>
    <row r="58" spans="1:10" x14ac:dyDescent="0.3">
      <c r="A58" t="s">
        <v>79</v>
      </c>
      <c r="B58" s="15">
        <v>45571</v>
      </c>
      <c r="C58" s="15">
        <v>45292</v>
      </c>
      <c r="D58" s="15">
        <v>45566</v>
      </c>
      <c r="E58">
        <v>2</v>
      </c>
      <c r="F58">
        <v>1</v>
      </c>
      <c r="G58">
        <v>1</v>
      </c>
      <c r="H58">
        <v>0</v>
      </c>
      <c r="I58">
        <v>0</v>
      </c>
      <c r="J58">
        <v>1</v>
      </c>
    </row>
    <row r="59" spans="1:10" x14ac:dyDescent="0.3">
      <c r="A59" t="s">
        <v>79</v>
      </c>
      <c r="B59" s="15">
        <v>45602</v>
      </c>
      <c r="C59" s="15">
        <v>45292</v>
      </c>
      <c r="D59" s="15">
        <v>45597</v>
      </c>
      <c r="E59">
        <v>7</v>
      </c>
      <c r="F59">
        <v>2</v>
      </c>
      <c r="G59">
        <v>0</v>
      </c>
      <c r="H59">
        <v>1</v>
      </c>
      <c r="I59">
        <v>1</v>
      </c>
      <c r="J59">
        <v>2</v>
      </c>
    </row>
    <row r="60" spans="1:10" x14ac:dyDescent="0.3">
      <c r="A60" t="s">
        <v>32</v>
      </c>
      <c r="B60" s="15">
        <v>45602</v>
      </c>
      <c r="C60" s="15">
        <v>45292</v>
      </c>
      <c r="D60" s="15">
        <v>45597</v>
      </c>
      <c r="E60">
        <v>20</v>
      </c>
      <c r="F60">
        <v>7</v>
      </c>
      <c r="G60">
        <v>1</v>
      </c>
      <c r="H60">
        <v>4</v>
      </c>
      <c r="I60">
        <v>2</v>
      </c>
      <c r="J60">
        <v>7</v>
      </c>
    </row>
    <row r="61" spans="1:10" x14ac:dyDescent="0.3">
      <c r="A61" t="s">
        <v>92</v>
      </c>
      <c r="B61" s="15">
        <v>45602</v>
      </c>
      <c r="C61" s="15">
        <v>45292</v>
      </c>
      <c r="D61" s="15">
        <v>45597</v>
      </c>
      <c r="E61">
        <v>6</v>
      </c>
      <c r="F61">
        <v>2</v>
      </c>
      <c r="G61">
        <v>1</v>
      </c>
      <c r="H61">
        <v>0</v>
      </c>
      <c r="I61">
        <v>1</v>
      </c>
      <c r="J61">
        <v>2</v>
      </c>
    </row>
    <row r="62" spans="1:10" x14ac:dyDescent="0.3">
      <c r="A62" t="s">
        <v>13</v>
      </c>
      <c r="B62" s="15">
        <v>45602</v>
      </c>
      <c r="C62" s="15">
        <v>45292</v>
      </c>
      <c r="D62" s="15">
        <v>45597</v>
      </c>
      <c r="E62">
        <v>7</v>
      </c>
      <c r="F62">
        <v>2</v>
      </c>
      <c r="G62">
        <v>1</v>
      </c>
      <c r="H62">
        <v>0</v>
      </c>
      <c r="I62">
        <v>1</v>
      </c>
      <c r="J62">
        <v>2</v>
      </c>
    </row>
    <row r="63" spans="1:10" x14ac:dyDescent="0.3">
      <c r="A63" t="s">
        <v>32</v>
      </c>
      <c r="B63" s="15">
        <v>45627</v>
      </c>
      <c r="C63" s="15">
        <v>45292</v>
      </c>
      <c r="D63" s="15">
        <v>45627</v>
      </c>
      <c r="E63">
        <v>8</v>
      </c>
      <c r="F63">
        <v>2</v>
      </c>
      <c r="G63">
        <v>0</v>
      </c>
      <c r="H63">
        <v>0</v>
      </c>
      <c r="I63">
        <v>2</v>
      </c>
      <c r="J63">
        <v>2</v>
      </c>
    </row>
    <row r="64" spans="1:10" x14ac:dyDescent="0.3">
      <c r="A64" t="s">
        <v>13</v>
      </c>
      <c r="B64" s="15">
        <v>45627</v>
      </c>
      <c r="C64" s="15">
        <v>45292</v>
      </c>
      <c r="D64" s="15">
        <v>45627</v>
      </c>
      <c r="E64">
        <v>4</v>
      </c>
      <c r="F64">
        <v>1</v>
      </c>
      <c r="G64">
        <v>0</v>
      </c>
      <c r="H64">
        <v>0</v>
      </c>
      <c r="I64">
        <v>1</v>
      </c>
      <c r="J64">
        <v>1</v>
      </c>
    </row>
    <row r="65" spans="1:10" x14ac:dyDescent="0.3">
      <c r="A65" t="s">
        <v>79</v>
      </c>
      <c r="B65" s="15">
        <v>45627</v>
      </c>
      <c r="C65" s="15">
        <v>45292</v>
      </c>
      <c r="D65" s="15">
        <v>45627</v>
      </c>
      <c r="E65">
        <v>1</v>
      </c>
      <c r="F65">
        <v>1</v>
      </c>
      <c r="G65">
        <v>0</v>
      </c>
      <c r="H65">
        <v>1</v>
      </c>
      <c r="I65">
        <v>0</v>
      </c>
      <c r="J65">
        <v>1</v>
      </c>
    </row>
    <row r="66" spans="1:10" x14ac:dyDescent="0.3">
      <c r="A66" t="s">
        <v>92</v>
      </c>
      <c r="B66" s="15">
        <v>45627</v>
      </c>
      <c r="C66" s="15">
        <v>45292</v>
      </c>
      <c r="D66" s="15">
        <v>45627</v>
      </c>
      <c r="E66">
        <v>4</v>
      </c>
      <c r="F66">
        <v>1</v>
      </c>
      <c r="G66">
        <v>0</v>
      </c>
      <c r="H66">
        <v>0</v>
      </c>
      <c r="I66">
        <v>1</v>
      </c>
      <c r="J66">
        <v>1</v>
      </c>
    </row>
    <row r="67" spans="1:10" x14ac:dyDescent="0.3">
      <c r="A67" t="s">
        <v>13</v>
      </c>
      <c r="B67" s="15">
        <v>45629</v>
      </c>
      <c r="C67" s="15">
        <v>45292</v>
      </c>
      <c r="D67" s="15">
        <v>45627</v>
      </c>
      <c r="E67">
        <v>2</v>
      </c>
      <c r="F67">
        <v>2</v>
      </c>
      <c r="G67">
        <v>2</v>
      </c>
      <c r="H67">
        <v>0</v>
      </c>
      <c r="I67">
        <v>0</v>
      </c>
      <c r="J67">
        <v>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81947-4ED3-4242-86D5-1B1BB7802802}">
  <dimension ref="A2:F182"/>
  <sheetViews>
    <sheetView zoomScale="92" workbookViewId="0">
      <selection activeCell="D6" sqref="D6"/>
    </sheetView>
  </sheetViews>
  <sheetFormatPr defaultRowHeight="14.4" x14ac:dyDescent="0.3"/>
  <cols>
    <col min="1" max="1" width="18.21875" customWidth="1"/>
    <col min="2" max="2" width="18.44140625" customWidth="1"/>
    <col min="3" max="3" width="11.6640625" customWidth="1"/>
    <col min="4" max="4" width="59.5546875" customWidth="1"/>
    <col min="5" max="5" width="42.33203125" customWidth="1"/>
    <col min="6" max="6" width="27" customWidth="1"/>
  </cols>
  <sheetData>
    <row r="2" spans="1:6" x14ac:dyDescent="0.3">
      <c r="A2" s="51" t="s">
        <v>369</v>
      </c>
      <c r="B2" s="52" t="s">
        <v>1</v>
      </c>
      <c r="C2" s="52" t="s">
        <v>2</v>
      </c>
      <c r="D2" s="52" t="s">
        <v>370</v>
      </c>
      <c r="E2" s="52" t="s">
        <v>3</v>
      </c>
      <c r="F2" s="53" t="s">
        <v>4</v>
      </c>
    </row>
    <row r="3" spans="1:6" ht="72" x14ac:dyDescent="0.3">
      <c r="A3" s="28">
        <v>84</v>
      </c>
      <c r="B3" s="28" t="s">
        <v>371</v>
      </c>
      <c r="C3" s="28">
        <v>3</v>
      </c>
      <c r="D3" s="28" t="s">
        <v>372</v>
      </c>
      <c r="E3" s="28" t="s">
        <v>12</v>
      </c>
      <c r="F3" s="28" t="s">
        <v>32</v>
      </c>
    </row>
    <row r="4" spans="1:6" ht="72" x14ac:dyDescent="0.3">
      <c r="A4" s="28">
        <v>84</v>
      </c>
      <c r="B4" s="28" t="s">
        <v>371</v>
      </c>
      <c r="C4" s="28">
        <v>3</v>
      </c>
      <c r="D4" s="28" t="s">
        <v>372</v>
      </c>
      <c r="E4" s="28" t="s">
        <v>12</v>
      </c>
      <c r="F4" s="28" t="s">
        <v>13</v>
      </c>
    </row>
    <row r="5" spans="1:6" ht="86.4" x14ac:dyDescent="0.3">
      <c r="A5" s="28">
        <v>74</v>
      </c>
      <c r="B5" s="28" t="s">
        <v>371</v>
      </c>
      <c r="C5" s="28">
        <v>1</v>
      </c>
      <c r="D5" s="28" t="s">
        <v>374</v>
      </c>
      <c r="E5" s="28" t="s">
        <v>14</v>
      </c>
      <c r="F5" s="28" t="s">
        <v>13</v>
      </c>
    </row>
    <row r="6" spans="1:6" ht="86.4" x14ac:dyDescent="0.3">
      <c r="A6" s="28">
        <v>74</v>
      </c>
      <c r="B6" s="28" t="s">
        <v>371</v>
      </c>
      <c r="C6" s="28">
        <v>1</v>
      </c>
      <c r="D6" s="28" t="s">
        <v>374</v>
      </c>
      <c r="E6" s="28" t="s">
        <v>14</v>
      </c>
      <c r="F6" s="28" t="s">
        <v>79</v>
      </c>
    </row>
    <row r="7" spans="1:6" ht="86.4" x14ac:dyDescent="0.3">
      <c r="A7" s="28">
        <v>93</v>
      </c>
      <c r="B7" s="28" t="s">
        <v>371</v>
      </c>
      <c r="C7" s="28">
        <v>1</v>
      </c>
      <c r="D7" s="28" t="s">
        <v>373</v>
      </c>
      <c r="E7" s="28" t="s">
        <v>78</v>
      </c>
      <c r="F7" s="28" t="s">
        <v>79</v>
      </c>
    </row>
    <row r="8" spans="1:6" ht="72" x14ac:dyDescent="0.3">
      <c r="A8" s="28">
        <v>84</v>
      </c>
      <c r="B8" s="28" t="s">
        <v>371</v>
      </c>
      <c r="C8" s="28">
        <v>3</v>
      </c>
      <c r="D8" s="28" t="s">
        <v>372</v>
      </c>
      <c r="E8" s="28" t="s">
        <v>12</v>
      </c>
      <c r="F8" s="28" t="s">
        <v>79</v>
      </c>
    </row>
    <row r="9" spans="1:6" ht="273.60000000000002" x14ac:dyDescent="0.3">
      <c r="A9" s="28">
        <v>96</v>
      </c>
      <c r="B9" s="28" t="s">
        <v>375</v>
      </c>
      <c r="C9" s="28">
        <v>1</v>
      </c>
      <c r="D9" s="28" t="s">
        <v>377</v>
      </c>
      <c r="E9" s="28" t="s">
        <v>15</v>
      </c>
      <c r="F9" s="28" t="s">
        <v>92</v>
      </c>
    </row>
    <row r="10" spans="1:6" ht="273.60000000000002" x14ac:dyDescent="0.3">
      <c r="A10" s="28">
        <v>96</v>
      </c>
      <c r="B10" s="28" t="s">
        <v>375</v>
      </c>
      <c r="C10" s="28">
        <v>1</v>
      </c>
      <c r="D10" s="28" t="s">
        <v>377</v>
      </c>
      <c r="E10" s="28" t="s">
        <v>15</v>
      </c>
      <c r="F10" s="28" t="s">
        <v>79</v>
      </c>
    </row>
    <row r="11" spans="1:6" ht="86.4" x14ac:dyDescent="0.3">
      <c r="A11" s="28">
        <v>94</v>
      </c>
      <c r="B11" s="28" t="s">
        <v>375</v>
      </c>
      <c r="C11" s="28">
        <v>3</v>
      </c>
      <c r="D11" s="28" t="s">
        <v>378</v>
      </c>
      <c r="E11" s="28" t="s">
        <v>33</v>
      </c>
      <c r="F11" s="28" t="s">
        <v>32</v>
      </c>
    </row>
    <row r="12" spans="1:6" ht="273.60000000000002" x14ac:dyDescent="0.3">
      <c r="A12" s="28">
        <v>96</v>
      </c>
      <c r="B12" s="28" t="s">
        <v>375</v>
      </c>
      <c r="C12" s="28">
        <v>1</v>
      </c>
      <c r="D12" s="28" t="s">
        <v>377</v>
      </c>
      <c r="E12" s="28" t="s">
        <v>15</v>
      </c>
      <c r="F12" s="28" t="s">
        <v>13</v>
      </c>
    </row>
    <row r="13" spans="1:6" ht="273.60000000000002" x14ac:dyDescent="0.3">
      <c r="A13" s="28">
        <v>22</v>
      </c>
      <c r="B13" s="28" t="s">
        <v>375</v>
      </c>
      <c r="C13" s="28">
        <v>1</v>
      </c>
      <c r="D13" s="28" t="s">
        <v>376</v>
      </c>
      <c r="E13" s="28" t="s">
        <v>93</v>
      </c>
      <c r="F13" s="28" t="s">
        <v>92</v>
      </c>
    </row>
    <row r="14" spans="1:6" ht="86.4" x14ac:dyDescent="0.3">
      <c r="A14" s="28">
        <v>89</v>
      </c>
      <c r="B14" s="28" t="s">
        <v>379</v>
      </c>
      <c r="C14" s="28">
        <v>1</v>
      </c>
      <c r="D14" s="28" t="s">
        <v>381</v>
      </c>
      <c r="E14" s="28" t="s">
        <v>36</v>
      </c>
      <c r="F14" s="28" t="s">
        <v>32</v>
      </c>
    </row>
    <row r="15" spans="1:6" ht="86.4" x14ac:dyDescent="0.3">
      <c r="A15" s="28">
        <v>86</v>
      </c>
      <c r="B15" s="28" t="s">
        <v>379</v>
      </c>
      <c r="C15" s="28">
        <v>3</v>
      </c>
      <c r="D15" s="28" t="s">
        <v>386</v>
      </c>
      <c r="E15" s="28" t="s">
        <v>17</v>
      </c>
      <c r="F15" s="28" t="s">
        <v>79</v>
      </c>
    </row>
    <row r="16" spans="1:6" ht="172.8" x14ac:dyDescent="0.3">
      <c r="A16" s="28">
        <v>66</v>
      </c>
      <c r="B16" s="28" t="s">
        <v>379</v>
      </c>
      <c r="C16" s="28">
        <v>2</v>
      </c>
      <c r="D16" s="28" t="s">
        <v>382</v>
      </c>
      <c r="E16" s="28" t="s">
        <v>37</v>
      </c>
      <c r="F16" s="28" t="s">
        <v>79</v>
      </c>
    </row>
    <row r="17" spans="1:6" ht="158.4" x14ac:dyDescent="0.3">
      <c r="A17" s="28">
        <v>92</v>
      </c>
      <c r="B17" s="28" t="s">
        <v>379</v>
      </c>
      <c r="C17" s="28">
        <v>1</v>
      </c>
      <c r="D17" s="28" t="s">
        <v>383</v>
      </c>
      <c r="E17" s="28" t="s">
        <v>5</v>
      </c>
      <c r="F17" s="28" t="s">
        <v>79</v>
      </c>
    </row>
    <row r="18" spans="1:6" ht="72" x14ac:dyDescent="0.3">
      <c r="A18" s="28">
        <v>95</v>
      </c>
      <c r="B18" s="28" t="s">
        <v>379</v>
      </c>
      <c r="C18" s="28">
        <v>1</v>
      </c>
      <c r="D18" s="28" t="s">
        <v>384</v>
      </c>
      <c r="E18" s="28" t="s">
        <v>38</v>
      </c>
      <c r="F18" s="28" t="s">
        <v>79</v>
      </c>
    </row>
    <row r="19" spans="1:6" ht="158.4" x14ac:dyDescent="0.3">
      <c r="A19" s="28">
        <v>92</v>
      </c>
      <c r="B19" s="28" t="s">
        <v>379</v>
      </c>
      <c r="C19" s="28">
        <v>1</v>
      </c>
      <c r="D19" s="28" t="s">
        <v>383</v>
      </c>
      <c r="E19" s="28" t="s">
        <v>5</v>
      </c>
      <c r="F19" s="28" t="s">
        <v>6</v>
      </c>
    </row>
    <row r="20" spans="1:6" ht="72" x14ac:dyDescent="0.3">
      <c r="A20" s="28">
        <v>95</v>
      </c>
      <c r="B20" s="28" t="s">
        <v>379</v>
      </c>
      <c r="C20" s="28">
        <v>1</v>
      </c>
      <c r="D20" s="28" t="s">
        <v>384</v>
      </c>
      <c r="E20" s="28" t="s">
        <v>38</v>
      </c>
      <c r="F20" s="28" t="s">
        <v>32</v>
      </c>
    </row>
    <row r="21" spans="1:6" ht="172.8" x14ac:dyDescent="0.3">
      <c r="A21" s="28">
        <v>66</v>
      </c>
      <c r="B21" s="28" t="s">
        <v>379</v>
      </c>
      <c r="C21" s="28">
        <v>2</v>
      </c>
      <c r="D21" s="28" t="s">
        <v>382</v>
      </c>
      <c r="E21" s="28" t="s">
        <v>37</v>
      </c>
      <c r="F21" s="28" t="s">
        <v>32</v>
      </c>
    </row>
    <row r="22" spans="1:6" ht="86.4" x14ac:dyDescent="0.3">
      <c r="A22" s="28">
        <v>89</v>
      </c>
      <c r="B22" s="28" t="s">
        <v>379</v>
      </c>
      <c r="C22" s="28">
        <v>1</v>
      </c>
      <c r="D22" s="28" t="s">
        <v>381</v>
      </c>
      <c r="E22" s="28" t="s">
        <v>36</v>
      </c>
      <c r="F22" s="28" t="s">
        <v>92</v>
      </c>
    </row>
    <row r="23" spans="1:6" ht="129.6" x14ac:dyDescent="0.3">
      <c r="A23" s="28">
        <v>81</v>
      </c>
      <c r="B23" s="28" t="s">
        <v>379</v>
      </c>
      <c r="C23" s="28">
        <v>4</v>
      </c>
      <c r="D23" s="28" t="s">
        <v>380</v>
      </c>
      <c r="E23" s="28" t="s">
        <v>35</v>
      </c>
      <c r="F23" s="28" t="s">
        <v>92</v>
      </c>
    </row>
    <row r="24" spans="1:6" ht="158.4" x14ac:dyDescent="0.3">
      <c r="A24" s="28">
        <v>30</v>
      </c>
      <c r="B24" s="28" t="s">
        <v>379</v>
      </c>
      <c r="C24" s="28">
        <v>1</v>
      </c>
      <c r="D24" s="28" t="s">
        <v>385</v>
      </c>
      <c r="E24" s="28" t="s">
        <v>34</v>
      </c>
      <c r="F24" s="28" t="s">
        <v>32</v>
      </c>
    </row>
    <row r="25" spans="1:6" ht="129.6" x14ac:dyDescent="0.3">
      <c r="A25" s="28">
        <v>81</v>
      </c>
      <c r="B25" s="28" t="s">
        <v>379</v>
      </c>
      <c r="C25" s="28">
        <v>4</v>
      </c>
      <c r="D25" s="28" t="s">
        <v>380</v>
      </c>
      <c r="E25" s="28" t="s">
        <v>35</v>
      </c>
      <c r="F25" s="28" t="s">
        <v>32</v>
      </c>
    </row>
    <row r="26" spans="1:6" ht="72" x14ac:dyDescent="0.3">
      <c r="A26" s="28">
        <v>98</v>
      </c>
      <c r="B26" s="28" t="s">
        <v>379</v>
      </c>
      <c r="C26" s="28">
        <v>1</v>
      </c>
      <c r="D26" s="28" t="s">
        <v>519</v>
      </c>
      <c r="E26" s="28" t="s">
        <v>16</v>
      </c>
      <c r="F26" s="28" t="s">
        <v>13</v>
      </c>
    </row>
    <row r="27" spans="1:6" ht="409.6" x14ac:dyDescent="0.3">
      <c r="A27" s="28">
        <v>63</v>
      </c>
      <c r="B27" s="28" t="s">
        <v>387</v>
      </c>
      <c r="C27" s="28">
        <v>2</v>
      </c>
      <c r="D27" s="28" t="s">
        <v>520</v>
      </c>
      <c r="E27" s="28" t="s">
        <v>20</v>
      </c>
      <c r="F27" s="28" t="s">
        <v>32</v>
      </c>
    </row>
    <row r="28" spans="1:6" ht="57.6" x14ac:dyDescent="0.3">
      <c r="A28" s="28">
        <v>65</v>
      </c>
      <c r="B28" s="28" t="s">
        <v>387</v>
      </c>
      <c r="C28" s="28">
        <v>3</v>
      </c>
      <c r="D28" s="28" t="s">
        <v>392</v>
      </c>
      <c r="E28" s="28" t="s">
        <v>7</v>
      </c>
      <c r="F28" s="28" t="s">
        <v>6</v>
      </c>
    </row>
    <row r="29" spans="1:6" ht="216" x14ac:dyDescent="0.3">
      <c r="A29" s="28">
        <v>76</v>
      </c>
      <c r="B29" s="28" t="s">
        <v>387</v>
      </c>
      <c r="C29" s="28">
        <v>1</v>
      </c>
      <c r="D29" s="28" t="s">
        <v>394</v>
      </c>
      <c r="E29" s="28" t="s">
        <v>41</v>
      </c>
      <c r="F29" s="28" t="s">
        <v>32</v>
      </c>
    </row>
    <row r="30" spans="1:6" ht="72" x14ac:dyDescent="0.3">
      <c r="A30" s="28">
        <v>82</v>
      </c>
      <c r="B30" s="28" t="s">
        <v>387</v>
      </c>
      <c r="C30" s="28">
        <v>4</v>
      </c>
      <c r="D30" s="28" t="s">
        <v>389</v>
      </c>
      <c r="E30" s="28" t="s">
        <v>18</v>
      </c>
      <c r="F30" s="28" t="s">
        <v>32</v>
      </c>
    </row>
    <row r="31" spans="1:6" ht="43.2" x14ac:dyDescent="0.3">
      <c r="A31" s="28">
        <v>31</v>
      </c>
      <c r="B31" s="28" t="s">
        <v>387</v>
      </c>
      <c r="C31" s="28">
        <v>1</v>
      </c>
      <c r="D31" s="28" t="s">
        <v>390</v>
      </c>
      <c r="E31" s="28" t="s">
        <v>19</v>
      </c>
      <c r="F31" s="28" t="s">
        <v>32</v>
      </c>
    </row>
    <row r="32" spans="1:6" ht="57.6" x14ac:dyDescent="0.3">
      <c r="A32" s="28">
        <v>65</v>
      </c>
      <c r="B32" s="28" t="s">
        <v>387</v>
      </c>
      <c r="C32" s="28">
        <v>3</v>
      </c>
      <c r="D32" s="28" t="s">
        <v>392</v>
      </c>
      <c r="E32" s="28" t="s">
        <v>7</v>
      </c>
      <c r="F32" s="28" t="s">
        <v>32</v>
      </c>
    </row>
    <row r="33" spans="1:6" ht="115.2" x14ac:dyDescent="0.3">
      <c r="A33" s="28">
        <v>87</v>
      </c>
      <c r="B33" s="28" t="s">
        <v>387</v>
      </c>
      <c r="C33" s="28">
        <v>1</v>
      </c>
      <c r="D33" s="28" t="s">
        <v>393</v>
      </c>
      <c r="E33" s="28" t="s">
        <v>40</v>
      </c>
      <c r="F33" s="28" t="s">
        <v>32</v>
      </c>
    </row>
    <row r="34" spans="1:6" ht="72" x14ac:dyDescent="0.3">
      <c r="A34" s="28">
        <v>82</v>
      </c>
      <c r="B34" s="28" t="s">
        <v>387</v>
      </c>
      <c r="C34" s="28">
        <v>4</v>
      </c>
      <c r="D34" s="28" t="s">
        <v>389</v>
      </c>
      <c r="E34" s="28" t="s">
        <v>18</v>
      </c>
      <c r="F34" s="28" t="s">
        <v>79</v>
      </c>
    </row>
    <row r="35" spans="1:6" ht="86.4" x14ac:dyDescent="0.3">
      <c r="A35" s="28">
        <v>73</v>
      </c>
      <c r="B35" s="28" t="s">
        <v>387</v>
      </c>
      <c r="C35" s="28">
        <v>3</v>
      </c>
      <c r="D35" s="28" t="s">
        <v>397</v>
      </c>
      <c r="E35" s="28" t="s">
        <v>95</v>
      </c>
      <c r="F35" s="28" t="s">
        <v>92</v>
      </c>
    </row>
    <row r="36" spans="1:6" ht="409.6" x14ac:dyDescent="0.3">
      <c r="A36" s="28">
        <v>75</v>
      </c>
      <c r="B36" s="28" t="s">
        <v>387</v>
      </c>
      <c r="C36" s="28">
        <v>1</v>
      </c>
      <c r="D36" s="28" t="s">
        <v>396</v>
      </c>
      <c r="E36" s="28" t="s">
        <v>39</v>
      </c>
      <c r="F36" s="28" t="s">
        <v>79</v>
      </c>
    </row>
    <row r="37" spans="1:6" ht="158.4" x14ac:dyDescent="0.3">
      <c r="A37" s="28">
        <v>97</v>
      </c>
      <c r="B37" s="28" t="s">
        <v>387</v>
      </c>
      <c r="C37" s="28">
        <v>1</v>
      </c>
      <c r="D37" s="28" t="s">
        <v>395</v>
      </c>
      <c r="E37" s="28" t="s">
        <v>42</v>
      </c>
      <c r="F37" s="28" t="s">
        <v>32</v>
      </c>
    </row>
    <row r="38" spans="1:6" ht="72" x14ac:dyDescent="0.3">
      <c r="A38" s="28">
        <v>82</v>
      </c>
      <c r="B38" s="28" t="s">
        <v>387</v>
      </c>
      <c r="C38" s="28">
        <v>4</v>
      </c>
      <c r="D38" s="28" t="s">
        <v>389</v>
      </c>
      <c r="E38" s="28" t="s">
        <v>18</v>
      </c>
      <c r="F38" s="28" t="s">
        <v>13</v>
      </c>
    </row>
    <row r="39" spans="1:6" ht="43.2" x14ac:dyDescent="0.3">
      <c r="A39" s="28">
        <v>31</v>
      </c>
      <c r="B39" s="28" t="s">
        <v>387</v>
      </c>
      <c r="C39" s="28">
        <v>1</v>
      </c>
      <c r="D39" s="28" t="s">
        <v>390</v>
      </c>
      <c r="E39" s="28" t="s">
        <v>19</v>
      </c>
      <c r="F39" s="28" t="s">
        <v>13</v>
      </c>
    </row>
    <row r="40" spans="1:6" ht="409.6" x14ac:dyDescent="0.3">
      <c r="A40" s="28">
        <v>75</v>
      </c>
      <c r="B40" s="28" t="s">
        <v>387</v>
      </c>
      <c r="C40" s="28">
        <v>1</v>
      </c>
      <c r="D40" s="28" t="s">
        <v>521</v>
      </c>
      <c r="E40" s="28" t="s">
        <v>39</v>
      </c>
      <c r="F40" s="28" t="s">
        <v>90</v>
      </c>
    </row>
    <row r="41" spans="1:6" ht="72" x14ac:dyDescent="0.3">
      <c r="A41" s="28">
        <v>82</v>
      </c>
      <c r="B41" s="28" t="s">
        <v>387</v>
      </c>
      <c r="C41" s="28">
        <v>4</v>
      </c>
      <c r="D41" s="28" t="s">
        <v>389</v>
      </c>
      <c r="E41" s="28" t="s">
        <v>18</v>
      </c>
      <c r="F41" s="28" t="s">
        <v>92</v>
      </c>
    </row>
    <row r="42" spans="1:6" ht="72" x14ac:dyDescent="0.3">
      <c r="A42" s="28">
        <v>83</v>
      </c>
      <c r="B42" s="28" t="s">
        <v>387</v>
      </c>
      <c r="C42" s="28">
        <v>1</v>
      </c>
      <c r="D42" s="28" t="s">
        <v>388</v>
      </c>
      <c r="E42" s="28" t="s">
        <v>94</v>
      </c>
      <c r="F42" s="28" t="s">
        <v>92</v>
      </c>
    </row>
    <row r="43" spans="1:6" ht="158.4" x14ac:dyDescent="0.3">
      <c r="A43" s="28">
        <v>97</v>
      </c>
      <c r="B43" s="28" t="s">
        <v>387</v>
      </c>
      <c r="C43" s="28">
        <v>1</v>
      </c>
      <c r="D43" s="28" t="s">
        <v>395</v>
      </c>
      <c r="E43" s="28" t="s">
        <v>42</v>
      </c>
      <c r="F43" s="28" t="s">
        <v>92</v>
      </c>
    </row>
    <row r="44" spans="1:6" ht="409.6" x14ac:dyDescent="0.3">
      <c r="A44" s="28">
        <v>63</v>
      </c>
      <c r="B44" s="28" t="s">
        <v>387</v>
      </c>
      <c r="C44" s="28">
        <v>2</v>
      </c>
      <c r="D44" s="28" t="s">
        <v>391</v>
      </c>
      <c r="E44" s="28" t="s">
        <v>20</v>
      </c>
      <c r="F44" s="28" t="s">
        <v>92</v>
      </c>
    </row>
    <row r="45" spans="1:6" ht="57.6" x14ac:dyDescent="0.3">
      <c r="A45" s="28">
        <v>65</v>
      </c>
      <c r="B45" s="28" t="s">
        <v>387</v>
      </c>
      <c r="C45" s="28">
        <v>3</v>
      </c>
      <c r="D45" s="28" t="s">
        <v>392</v>
      </c>
      <c r="E45" s="28" t="s">
        <v>7</v>
      </c>
      <c r="F45" s="28" t="s">
        <v>79</v>
      </c>
    </row>
    <row r="46" spans="1:6" ht="129.6" x14ac:dyDescent="0.3">
      <c r="A46" s="28">
        <v>42</v>
      </c>
      <c r="B46" s="28" t="s">
        <v>398</v>
      </c>
      <c r="C46" s="28">
        <v>1</v>
      </c>
      <c r="D46" s="28" t="s">
        <v>404</v>
      </c>
      <c r="E46" s="28" t="s">
        <v>84</v>
      </c>
      <c r="F46" s="28" t="s">
        <v>92</v>
      </c>
    </row>
    <row r="47" spans="1:6" ht="273.60000000000002" x14ac:dyDescent="0.3">
      <c r="A47" s="28">
        <v>36</v>
      </c>
      <c r="B47" s="28" t="s">
        <v>398</v>
      </c>
      <c r="C47" s="28">
        <v>1</v>
      </c>
      <c r="D47" s="28" t="s">
        <v>402</v>
      </c>
      <c r="E47" s="28" t="s">
        <v>100</v>
      </c>
      <c r="F47" s="28" t="s">
        <v>92</v>
      </c>
    </row>
    <row r="48" spans="1:6" ht="72" x14ac:dyDescent="0.3">
      <c r="A48" s="28">
        <v>48</v>
      </c>
      <c r="B48" s="28" t="s">
        <v>398</v>
      </c>
      <c r="C48" s="28">
        <v>1</v>
      </c>
      <c r="D48" s="28" t="s">
        <v>403</v>
      </c>
      <c r="E48" s="28" t="s">
        <v>58</v>
      </c>
      <c r="F48" s="28" t="s">
        <v>92</v>
      </c>
    </row>
    <row r="49" spans="1:6" ht="230.4" x14ac:dyDescent="0.3">
      <c r="A49" s="28">
        <v>50</v>
      </c>
      <c r="B49" s="28" t="s">
        <v>398</v>
      </c>
      <c r="C49" s="28">
        <v>1</v>
      </c>
      <c r="D49" s="28" t="s">
        <v>426</v>
      </c>
      <c r="E49" s="28" t="s">
        <v>99</v>
      </c>
      <c r="F49" s="28" t="s">
        <v>92</v>
      </c>
    </row>
    <row r="50" spans="1:6" ht="57.6" x14ac:dyDescent="0.3">
      <c r="A50" s="28">
        <v>100</v>
      </c>
      <c r="B50" s="28" t="s">
        <v>398</v>
      </c>
      <c r="C50" s="28">
        <v>4</v>
      </c>
      <c r="D50" s="28" t="s">
        <v>399</v>
      </c>
      <c r="E50" s="28" t="s">
        <v>98</v>
      </c>
      <c r="F50" s="28" t="s">
        <v>92</v>
      </c>
    </row>
    <row r="51" spans="1:6" ht="57.6" x14ac:dyDescent="0.3">
      <c r="A51" s="28">
        <v>53</v>
      </c>
      <c r="B51" s="28" t="s">
        <v>398</v>
      </c>
      <c r="C51" s="28">
        <v>1</v>
      </c>
      <c r="D51" s="28" t="s">
        <v>400</v>
      </c>
      <c r="E51" s="28" t="s">
        <v>97</v>
      </c>
      <c r="F51" s="28" t="s">
        <v>92</v>
      </c>
    </row>
    <row r="52" spans="1:6" ht="57.6" x14ac:dyDescent="0.3">
      <c r="A52" s="28">
        <v>88</v>
      </c>
      <c r="B52" s="28" t="s">
        <v>398</v>
      </c>
      <c r="C52" s="28">
        <v>1</v>
      </c>
      <c r="D52" s="28" t="s">
        <v>428</v>
      </c>
      <c r="E52" s="28" t="s">
        <v>57</v>
      </c>
      <c r="F52" s="28" t="s">
        <v>92</v>
      </c>
    </row>
    <row r="53" spans="1:6" ht="72" x14ac:dyDescent="0.3">
      <c r="A53" s="28">
        <v>17</v>
      </c>
      <c r="B53" s="28" t="s">
        <v>398</v>
      </c>
      <c r="C53" s="28">
        <v>4</v>
      </c>
      <c r="D53" s="28" t="s">
        <v>401</v>
      </c>
      <c r="E53" s="28" t="s">
        <v>55</v>
      </c>
      <c r="F53" s="28" t="s">
        <v>92</v>
      </c>
    </row>
    <row r="54" spans="1:6" ht="43.2" x14ac:dyDescent="0.3">
      <c r="A54" s="28">
        <v>78</v>
      </c>
      <c r="B54" s="28" t="s">
        <v>398</v>
      </c>
      <c r="C54" s="28">
        <v>5</v>
      </c>
      <c r="D54" s="28" t="s">
        <v>406</v>
      </c>
      <c r="E54" s="28" t="s">
        <v>54</v>
      </c>
      <c r="F54" s="28" t="s">
        <v>13</v>
      </c>
    </row>
    <row r="55" spans="1:6" ht="72" x14ac:dyDescent="0.3">
      <c r="A55" s="28">
        <v>72</v>
      </c>
      <c r="B55" s="28" t="s">
        <v>398</v>
      </c>
      <c r="C55" s="28">
        <v>3</v>
      </c>
      <c r="D55" s="28" t="s">
        <v>408</v>
      </c>
      <c r="E55" s="28" t="s">
        <v>43</v>
      </c>
      <c r="F55" s="28" t="s">
        <v>91</v>
      </c>
    </row>
    <row r="56" spans="1:6" ht="57.6" x14ac:dyDescent="0.3">
      <c r="A56" s="28">
        <v>64</v>
      </c>
      <c r="B56" s="28" t="s">
        <v>398</v>
      </c>
      <c r="C56" s="28">
        <v>5</v>
      </c>
      <c r="D56" s="28" t="s">
        <v>418</v>
      </c>
      <c r="E56" s="28" t="s">
        <v>82</v>
      </c>
      <c r="F56" s="28" t="s">
        <v>13</v>
      </c>
    </row>
    <row r="57" spans="1:6" ht="115.2" x14ac:dyDescent="0.3">
      <c r="A57" s="28">
        <v>46</v>
      </c>
      <c r="B57" s="28" t="s">
        <v>398</v>
      </c>
      <c r="C57" s="28">
        <v>2</v>
      </c>
      <c r="D57" s="28" t="s">
        <v>405</v>
      </c>
      <c r="E57" s="28" t="s">
        <v>22</v>
      </c>
      <c r="F57" s="28" t="s">
        <v>79</v>
      </c>
    </row>
    <row r="58" spans="1:6" ht="100.8" x14ac:dyDescent="0.3">
      <c r="A58" s="28">
        <v>8</v>
      </c>
      <c r="B58" s="28" t="s">
        <v>398</v>
      </c>
      <c r="C58" s="28">
        <v>1</v>
      </c>
      <c r="D58" s="28" t="s">
        <v>413</v>
      </c>
      <c r="E58" s="28" t="s">
        <v>52</v>
      </c>
      <c r="F58" s="28" t="s">
        <v>79</v>
      </c>
    </row>
    <row r="59" spans="1:6" ht="72" x14ac:dyDescent="0.3">
      <c r="A59" s="28">
        <v>17</v>
      </c>
      <c r="B59" s="28" t="s">
        <v>398</v>
      </c>
      <c r="C59" s="28">
        <v>4</v>
      </c>
      <c r="D59" s="28" t="s">
        <v>401</v>
      </c>
      <c r="E59" s="28" t="s">
        <v>55</v>
      </c>
      <c r="F59" s="28" t="s">
        <v>79</v>
      </c>
    </row>
    <row r="60" spans="1:6" ht="86.4" x14ac:dyDescent="0.3">
      <c r="A60" s="28">
        <v>90</v>
      </c>
      <c r="B60" s="28" t="s">
        <v>398</v>
      </c>
      <c r="C60" s="28">
        <v>1</v>
      </c>
      <c r="D60" s="28" t="s">
        <v>409</v>
      </c>
      <c r="E60" s="28" t="s">
        <v>21</v>
      </c>
      <c r="F60" s="28" t="s">
        <v>79</v>
      </c>
    </row>
    <row r="61" spans="1:6" ht="72" x14ac:dyDescent="0.3">
      <c r="A61" s="28">
        <v>85</v>
      </c>
      <c r="B61" s="28" t="s">
        <v>398</v>
      </c>
      <c r="C61" s="28">
        <v>5</v>
      </c>
      <c r="D61" s="28" t="s">
        <v>422</v>
      </c>
      <c r="E61" s="28" t="s">
        <v>56</v>
      </c>
      <c r="F61" s="28" t="s">
        <v>79</v>
      </c>
    </row>
    <row r="62" spans="1:6" ht="115.2" x14ac:dyDescent="0.3">
      <c r="A62" s="28">
        <v>34</v>
      </c>
      <c r="B62" s="28" t="s">
        <v>398</v>
      </c>
      <c r="C62" s="28">
        <v>1</v>
      </c>
      <c r="D62" s="28" t="s">
        <v>411</v>
      </c>
      <c r="E62" s="28" t="s">
        <v>51</v>
      </c>
      <c r="F62" s="28" t="s">
        <v>79</v>
      </c>
    </row>
    <row r="63" spans="1:6" ht="273.60000000000002" x14ac:dyDescent="0.3">
      <c r="A63" s="28">
        <v>36</v>
      </c>
      <c r="B63" s="28" t="s">
        <v>398</v>
      </c>
      <c r="C63" s="28">
        <v>1</v>
      </c>
      <c r="D63" s="28" t="s">
        <v>402</v>
      </c>
      <c r="E63" s="28" t="s">
        <v>100</v>
      </c>
      <c r="F63" s="28" t="s">
        <v>79</v>
      </c>
    </row>
    <row r="64" spans="1:6" ht="57.6" x14ac:dyDescent="0.3">
      <c r="A64" s="28">
        <v>43</v>
      </c>
      <c r="B64" s="28" t="s">
        <v>398</v>
      </c>
      <c r="C64" s="28">
        <v>3</v>
      </c>
      <c r="D64" s="28" t="s">
        <v>412</v>
      </c>
      <c r="E64" s="28" t="s">
        <v>45</v>
      </c>
      <c r="F64" s="28" t="s">
        <v>79</v>
      </c>
    </row>
    <row r="65" spans="1:6" ht="57.6" x14ac:dyDescent="0.3">
      <c r="A65" s="28">
        <v>71</v>
      </c>
      <c r="B65" s="28" t="s">
        <v>398</v>
      </c>
      <c r="C65" s="28">
        <v>1</v>
      </c>
      <c r="D65" s="28" t="s">
        <v>420</v>
      </c>
      <c r="E65" s="28" t="s">
        <v>80</v>
      </c>
      <c r="F65" s="28" t="s">
        <v>79</v>
      </c>
    </row>
    <row r="66" spans="1:6" ht="43.2" x14ac:dyDescent="0.3">
      <c r="A66" s="28">
        <v>77</v>
      </c>
      <c r="B66" s="28" t="s">
        <v>398</v>
      </c>
      <c r="C66" s="28">
        <v>4</v>
      </c>
      <c r="D66" s="28" t="s">
        <v>421</v>
      </c>
      <c r="E66" s="28" t="s">
        <v>53</v>
      </c>
      <c r="F66" s="28" t="s">
        <v>79</v>
      </c>
    </row>
    <row r="67" spans="1:6" ht="100.8" x14ac:dyDescent="0.3">
      <c r="A67" s="28">
        <v>14</v>
      </c>
      <c r="B67" s="28" t="s">
        <v>398</v>
      </c>
      <c r="C67" s="28">
        <v>3</v>
      </c>
      <c r="D67" s="28" t="s">
        <v>410</v>
      </c>
      <c r="E67" s="28" t="s">
        <v>8</v>
      </c>
      <c r="F67" s="28" t="s">
        <v>79</v>
      </c>
    </row>
    <row r="68" spans="1:6" ht="43.2" x14ac:dyDescent="0.3">
      <c r="A68" s="28">
        <v>77</v>
      </c>
      <c r="B68" s="28" t="s">
        <v>398</v>
      </c>
      <c r="C68" s="28">
        <v>4</v>
      </c>
      <c r="D68" s="28" t="s">
        <v>421</v>
      </c>
      <c r="E68" s="28" t="s">
        <v>53</v>
      </c>
      <c r="F68" s="28" t="s">
        <v>13</v>
      </c>
    </row>
    <row r="69" spans="1:6" ht="216" x14ac:dyDescent="0.3">
      <c r="A69" s="28">
        <v>49</v>
      </c>
      <c r="B69" s="28" t="s">
        <v>398</v>
      </c>
      <c r="C69" s="28">
        <v>1</v>
      </c>
      <c r="D69" s="28" t="s">
        <v>407</v>
      </c>
      <c r="E69" s="28" t="s">
        <v>49</v>
      </c>
      <c r="F69" s="28" t="s">
        <v>79</v>
      </c>
    </row>
    <row r="70" spans="1:6" ht="57.6" x14ac:dyDescent="0.3">
      <c r="A70" s="28">
        <v>54</v>
      </c>
      <c r="B70" s="28" t="s">
        <v>398</v>
      </c>
      <c r="C70" s="28">
        <v>3</v>
      </c>
      <c r="D70" s="28" t="s">
        <v>415</v>
      </c>
      <c r="E70" s="28" t="s">
        <v>50</v>
      </c>
      <c r="F70" s="28" t="s">
        <v>79</v>
      </c>
    </row>
    <row r="71" spans="1:6" ht="100.8" x14ac:dyDescent="0.3">
      <c r="A71" s="28">
        <v>59</v>
      </c>
      <c r="B71" s="28" t="s">
        <v>398</v>
      </c>
      <c r="C71" s="28">
        <v>4</v>
      </c>
      <c r="D71" s="28" t="s">
        <v>416</v>
      </c>
      <c r="E71" s="28" t="s">
        <v>83</v>
      </c>
      <c r="F71" s="28" t="s">
        <v>79</v>
      </c>
    </row>
    <row r="72" spans="1:6" ht="72" x14ac:dyDescent="0.3">
      <c r="A72" s="28">
        <v>68</v>
      </c>
      <c r="B72" s="28" t="s">
        <v>398</v>
      </c>
      <c r="C72" s="28">
        <v>2</v>
      </c>
      <c r="D72" s="28" t="s">
        <v>424</v>
      </c>
      <c r="E72" s="28" t="s">
        <v>10</v>
      </c>
      <c r="F72" s="28" t="s">
        <v>79</v>
      </c>
    </row>
    <row r="73" spans="1:6" ht="100.8" x14ac:dyDescent="0.3">
      <c r="A73" s="28">
        <v>69</v>
      </c>
      <c r="B73" s="28" t="s">
        <v>398</v>
      </c>
      <c r="C73" s="28">
        <v>1</v>
      </c>
      <c r="D73" s="28" t="s">
        <v>419</v>
      </c>
      <c r="E73" s="28" t="s">
        <v>81</v>
      </c>
      <c r="F73" s="28" t="s">
        <v>79</v>
      </c>
    </row>
    <row r="74" spans="1:6" ht="57.6" x14ac:dyDescent="0.3">
      <c r="A74" s="28">
        <v>64</v>
      </c>
      <c r="B74" s="28" t="s">
        <v>398</v>
      </c>
      <c r="C74" s="28">
        <v>5</v>
      </c>
      <c r="D74" s="28" t="s">
        <v>418</v>
      </c>
      <c r="E74" s="28" t="s">
        <v>82</v>
      </c>
      <c r="F74" s="28" t="s">
        <v>92</v>
      </c>
    </row>
    <row r="75" spans="1:6" ht="57.6" x14ac:dyDescent="0.3">
      <c r="A75" s="28">
        <v>64</v>
      </c>
      <c r="B75" s="28" t="s">
        <v>398</v>
      </c>
      <c r="C75" s="28">
        <v>5</v>
      </c>
      <c r="D75" s="28" t="s">
        <v>418</v>
      </c>
      <c r="E75" s="28" t="s">
        <v>82</v>
      </c>
      <c r="F75" s="28" t="s">
        <v>91</v>
      </c>
    </row>
    <row r="76" spans="1:6" ht="43.2" x14ac:dyDescent="0.3">
      <c r="A76" s="28">
        <v>33</v>
      </c>
      <c r="B76" s="28" t="s">
        <v>398</v>
      </c>
      <c r="C76" s="28">
        <v>1</v>
      </c>
      <c r="D76" s="28" t="s">
        <v>423</v>
      </c>
      <c r="E76" s="28" t="s">
        <v>9</v>
      </c>
      <c r="F76" s="28" t="s">
        <v>91</v>
      </c>
    </row>
    <row r="77" spans="1:6" ht="115.2" x14ac:dyDescent="0.3">
      <c r="A77" s="28">
        <v>46</v>
      </c>
      <c r="B77" s="28" t="s">
        <v>398</v>
      </c>
      <c r="C77" s="28">
        <v>2</v>
      </c>
      <c r="D77" s="28" t="s">
        <v>405</v>
      </c>
      <c r="E77" s="28" t="s">
        <v>22</v>
      </c>
      <c r="F77" s="28" t="s">
        <v>90</v>
      </c>
    </row>
    <row r="78" spans="1:6" ht="100.8" x14ac:dyDescent="0.3">
      <c r="A78" s="28">
        <v>8</v>
      </c>
      <c r="B78" s="28" t="s">
        <v>398</v>
      </c>
      <c r="C78" s="28">
        <v>1</v>
      </c>
      <c r="D78" s="28" t="s">
        <v>413</v>
      </c>
      <c r="E78" s="28" t="s">
        <v>52</v>
      </c>
      <c r="F78" s="28" t="s">
        <v>90</v>
      </c>
    </row>
    <row r="79" spans="1:6" ht="216" x14ac:dyDescent="0.3">
      <c r="A79" s="28">
        <v>49</v>
      </c>
      <c r="B79" s="28" t="s">
        <v>398</v>
      </c>
      <c r="C79" s="28">
        <v>1</v>
      </c>
      <c r="D79" s="28" t="s">
        <v>407</v>
      </c>
      <c r="E79" s="28" t="s">
        <v>49</v>
      </c>
      <c r="F79" s="28" t="s">
        <v>13</v>
      </c>
    </row>
    <row r="80" spans="1:6" ht="72" x14ac:dyDescent="0.3">
      <c r="A80" s="28">
        <v>57</v>
      </c>
      <c r="B80" s="28" t="s">
        <v>398</v>
      </c>
      <c r="C80" s="28">
        <v>4</v>
      </c>
      <c r="D80" s="28" t="s">
        <v>425</v>
      </c>
      <c r="E80" s="28" t="s">
        <v>47</v>
      </c>
      <c r="F80" s="28" t="s">
        <v>13</v>
      </c>
    </row>
    <row r="81" spans="1:6" ht="57.6" x14ac:dyDescent="0.3">
      <c r="A81" s="28">
        <v>53</v>
      </c>
      <c r="B81" s="28" t="s">
        <v>398</v>
      </c>
      <c r="C81" s="28">
        <v>1</v>
      </c>
      <c r="D81" s="28" t="s">
        <v>400</v>
      </c>
      <c r="E81" s="28" t="s">
        <v>97</v>
      </c>
      <c r="F81" s="28" t="s">
        <v>79</v>
      </c>
    </row>
    <row r="82" spans="1:6" ht="57.6" x14ac:dyDescent="0.3">
      <c r="A82" s="28">
        <v>71</v>
      </c>
      <c r="B82" s="28" t="s">
        <v>398</v>
      </c>
      <c r="C82" s="28">
        <v>1</v>
      </c>
      <c r="D82" s="28" t="s">
        <v>420</v>
      </c>
      <c r="E82" s="28" t="s">
        <v>80</v>
      </c>
      <c r="F82" s="28" t="s">
        <v>92</v>
      </c>
    </row>
    <row r="83" spans="1:6" ht="72" x14ac:dyDescent="0.3">
      <c r="A83" s="28">
        <v>52</v>
      </c>
      <c r="B83" s="28" t="s">
        <v>398</v>
      </c>
      <c r="C83" s="28">
        <v>1</v>
      </c>
      <c r="D83" s="28" t="s">
        <v>417</v>
      </c>
      <c r="E83" s="28" t="s">
        <v>44</v>
      </c>
      <c r="F83" s="28" t="s">
        <v>92</v>
      </c>
    </row>
    <row r="84" spans="1:6" ht="72" x14ac:dyDescent="0.3">
      <c r="A84" s="28">
        <v>85</v>
      </c>
      <c r="B84" s="28" t="s">
        <v>398</v>
      </c>
      <c r="C84" s="28">
        <v>5</v>
      </c>
      <c r="D84" s="28" t="s">
        <v>422</v>
      </c>
      <c r="E84" s="28" t="s">
        <v>56</v>
      </c>
      <c r="F84" s="28" t="s">
        <v>92</v>
      </c>
    </row>
    <row r="85" spans="1:6" ht="115.2" x14ac:dyDescent="0.3">
      <c r="A85" s="28">
        <v>34</v>
      </c>
      <c r="B85" s="28" t="s">
        <v>398</v>
      </c>
      <c r="C85" s="28">
        <v>1</v>
      </c>
      <c r="D85" s="28" t="s">
        <v>411</v>
      </c>
      <c r="E85" s="28" t="s">
        <v>51</v>
      </c>
      <c r="F85" s="28" t="s">
        <v>32</v>
      </c>
    </row>
    <row r="86" spans="1:6" ht="43.2" x14ac:dyDescent="0.3">
      <c r="A86" s="28">
        <v>33</v>
      </c>
      <c r="B86" s="28" t="s">
        <v>398</v>
      </c>
      <c r="C86" s="28">
        <v>1</v>
      </c>
      <c r="D86" s="28" t="s">
        <v>423</v>
      </c>
      <c r="E86" s="28" t="s">
        <v>9</v>
      </c>
      <c r="F86" s="28" t="s">
        <v>32</v>
      </c>
    </row>
    <row r="87" spans="1:6" ht="72" x14ac:dyDescent="0.3">
      <c r="A87" s="28">
        <v>48</v>
      </c>
      <c r="B87" s="28" t="s">
        <v>398</v>
      </c>
      <c r="C87" s="28">
        <v>1</v>
      </c>
      <c r="D87" s="28" t="s">
        <v>403</v>
      </c>
      <c r="E87" s="28" t="s">
        <v>58</v>
      </c>
      <c r="F87" s="28" t="s">
        <v>32</v>
      </c>
    </row>
    <row r="88" spans="1:6" ht="72" x14ac:dyDescent="0.3">
      <c r="A88" s="28">
        <v>52</v>
      </c>
      <c r="B88" s="28" t="s">
        <v>398</v>
      </c>
      <c r="C88" s="28">
        <v>1</v>
      </c>
      <c r="D88" s="28" t="s">
        <v>417</v>
      </c>
      <c r="E88" s="28" t="s">
        <v>44</v>
      </c>
      <c r="F88" s="28" t="s">
        <v>32</v>
      </c>
    </row>
    <row r="89" spans="1:6" ht="72" x14ac:dyDescent="0.3">
      <c r="A89" s="28">
        <v>70</v>
      </c>
      <c r="B89" s="28" t="s">
        <v>398</v>
      </c>
      <c r="C89" s="28">
        <v>1</v>
      </c>
      <c r="D89" s="28" t="s">
        <v>414</v>
      </c>
      <c r="E89" s="28" t="s">
        <v>46</v>
      </c>
      <c r="F89" s="28" t="s">
        <v>32</v>
      </c>
    </row>
    <row r="90" spans="1:6" ht="100.8" x14ac:dyDescent="0.3">
      <c r="A90" s="28">
        <v>58</v>
      </c>
      <c r="B90" s="28" t="s">
        <v>398</v>
      </c>
      <c r="C90" s="28">
        <v>1</v>
      </c>
      <c r="D90" s="28" t="s">
        <v>427</v>
      </c>
      <c r="E90" s="28" t="s">
        <v>48</v>
      </c>
      <c r="F90" s="28" t="s">
        <v>32</v>
      </c>
    </row>
    <row r="91" spans="1:6" ht="72" x14ac:dyDescent="0.3">
      <c r="A91" s="28">
        <v>57</v>
      </c>
      <c r="B91" s="28" t="s">
        <v>398</v>
      </c>
      <c r="C91" s="28">
        <v>4</v>
      </c>
      <c r="D91" s="28" t="s">
        <v>425</v>
      </c>
      <c r="E91" s="28" t="s">
        <v>47</v>
      </c>
      <c r="F91" s="28" t="s">
        <v>32</v>
      </c>
    </row>
    <row r="92" spans="1:6" ht="216" x14ac:dyDescent="0.3">
      <c r="A92" s="28">
        <v>49</v>
      </c>
      <c r="B92" s="28" t="s">
        <v>398</v>
      </c>
      <c r="C92" s="28">
        <v>1</v>
      </c>
      <c r="D92" s="28" t="s">
        <v>407</v>
      </c>
      <c r="E92" s="28" t="s">
        <v>49</v>
      </c>
      <c r="F92" s="28" t="s">
        <v>32</v>
      </c>
    </row>
    <row r="93" spans="1:6" ht="72" x14ac:dyDescent="0.3">
      <c r="A93" s="28">
        <v>72</v>
      </c>
      <c r="B93" s="28" t="s">
        <v>398</v>
      </c>
      <c r="C93" s="28">
        <v>3</v>
      </c>
      <c r="D93" s="28" t="s">
        <v>408</v>
      </c>
      <c r="E93" s="28" t="s">
        <v>43</v>
      </c>
      <c r="F93" s="28" t="s">
        <v>32</v>
      </c>
    </row>
    <row r="94" spans="1:6" ht="72" x14ac:dyDescent="0.3">
      <c r="A94" s="28">
        <v>17</v>
      </c>
      <c r="B94" s="28" t="s">
        <v>398</v>
      </c>
      <c r="C94" s="28">
        <v>4</v>
      </c>
      <c r="D94" s="28" t="s">
        <v>401</v>
      </c>
      <c r="E94" s="28" t="s">
        <v>55</v>
      </c>
      <c r="F94" s="28" t="s">
        <v>32</v>
      </c>
    </row>
    <row r="95" spans="1:6" ht="100.8" x14ac:dyDescent="0.3">
      <c r="A95" s="28">
        <v>14</v>
      </c>
      <c r="B95" s="28" t="s">
        <v>398</v>
      </c>
      <c r="C95" s="28">
        <v>3</v>
      </c>
      <c r="D95" s="28" t="s">
        <v>410</v>
      </c>
      <c r="E95" s="28" t="s">
        <v>8</v>
      </c>
      <c r="F95" s="28" t="s">
        <v>32</v>
      </c>
    </row>
    <row r="96" spans="1:6" ht="57.6" x14ac:dyDescent="0.3">
      <c r="A96" s="28">
        <v>88</v>
      </c>
      <c r="B96" s="28" t="s">
        <v>398</v>
      </c>
      <c r="C96" s="28">
        <v>1</v>
      </c>
      <c r="D96" s="28" t="s">
        <v>428</v>
      </c>
      <c r="E96" s="28" t="s">
        <v>57</v>
      </c>
      <c r="F96" s="28" t="s">
        <v>32</v>
      </c>
    </row>
    <row r="97" spans="1:6" ht="86.4" x14ac:dyDescent="0.3">
      <c r="A97" s="28">
        <v>90</v>
      </c>
      <c r="B97" s="28" t="s">
        <v>398</v>
      </c>
      <c r="C97" s="28">
        <v>1</v>
      </c>
      <c r="D97" s="28" t="s">
        <v>409</v>
      </c>
      <c r="E97" s="28" t="s">
        <v>21</v>
      </c>
      <c r="F97" s="28" t="s">
        <v>32</v>
      </c>
    </row>
    <row r="98" spans="1:6" ht="43.2" x14ac:dyDescent="0.3">
      <c r="A98" s="28">
        <v>77</v>
      </c>
      <c r="B98" s="28" t="s">
        <v>398</v>
      </c>
      <c r="C98" s="28">
        <v>4</v>
      </c>
      <c r="D98" s="28" t="s">
        <v>421</v>
      </c>
      <c r="E98" s="28" t="s">
        <v>53</v>
      </c>
      <c r="F98" s="28" t="s">
        <v>32</v>
      </c>
    </row>
    <row r="99" spans="1:6" ht="72" x14ac:dyDescent="0.3">
      <c r="A99" s="28">
        <v>72</v>
      </c>
      <c r="B99" s="28" t="s">
        <v>398</v>
      </c>
      <c r="C99" s="28">
        <v>3</v>
      </c>
      <c r="D99" s="28" t="s">
        <v>408</v>
      </c>
      <c r="E99" s="28" t="s">
        <v>43</v>
      </c>
      <c r="F99" s="28" t="s">
        <v>92</v>
      </c>
    </row>
    <row r="100" spans="1:6" ht="57.6" x14ac:dyDescent="0.3">
      <c r="A100" s="28">
        <v>54</v>
      </c>
      <c r="B100" s="28" t="s">
        <v>398</v>
      </c>
      <c r="C100" s="28">
        <v>3</v>
      </c>
      <c r="D100" s="28" t="s">
        <v>415</v>
      </c>
      <c r="E100" s="28" t="s">
        <v>50</v>
      </c>
      <c r="F100" s="28" t="s">
        <v>32</v>
      </c>
    </row>
    <row r="101" spans="1:6" ht="57.6" x14ac:dyDescent="0.3">
      <c r="A101" s="28">
        <v>43</v>
      </c>
      <c r="B101" s="28" t="s">
        <v>398</v>
      </c>
      <c r="C101" s="28">
        <v>3</v>
      </c>
      <c r="D101" s="28" t="s">
        <v>412</v>
      </c>
      <c r="E101" s="28" t="s">
        <v>45</v>
      </c>
      <c r="F101" s="28" t="s">
        <v>32</v>
      </c>
    </row>
    <row r="102" spans="1:6" ht="43.2" x14ac:dyDescent="0.3">
      <c r="A102" s="28">
        <v>78</v>
      </c>
      <c r="B102" s="28" t="s">
        <v>398</v>
      </c>
      <c r="C102" s="28">
        <v>5</v>
      </c>
      <c r="D102" s="28" t="s">
        <v>406</v>
      </c>
      <c r="E102" s="28" t="s">
        <v>54</v>
      </c>
      <c r="F102" s="28" t="s">
        <v>32</v>
      </c>
    </row>
    <row r="103" spans="1:6" ht="72" x14ac:dyDescent="0.3">
      <c r="A103" s="28">
        <v>68</v>
      </c>
      <c r="B103" s="28" t="s">
        <v>398</v>
      </c>
      <c r="C103" s="28">
        <v>2</v>
      </c>
      <c r="D103" s="28" t="s">
        <v>424</v>
      </c>
      <c r="E103" s="28" t="s">
        <v>10</v>
      </c>
      <c r="F103" s="28" t="s">
        <v>6</v>
      </c>
    </row>
    <row r="104" spans="1:6" ht="72" x14ac:dyDescent="0.3">
      <c r="A104" s="28">
        <v>57</v>
      </c>
      <c r="B104" s="28" t="s">
        <v>398</v>
      </c>
      <c r="C104" s="28">
        <v>4</v>
      </c>
      <c r="D104" s="28" t="s">
        <v>425</v>
      </c>
      <c r="E104" s="28" t="s">
        <v>47</v>
      </c>
      <c r="F104" s="28" t="s">
        <v>92</v>
      </c>
    </row>
    <row r="105" spans="1:6" ht="28.8" x14ac:dyDescent="0.3">
      <c r="A105" s="28">
        <v>79</v>
      </c>
      <c r="B105" s="28" t="s">
        <v>398</v>
      </c>
      <c r="C105" s="28">
        <v>4</v>
      </c>
      <c r="D105" s="28" t="s">
        <v>429</v>
      </c>
      <c r="E105" s="28" t="s">
        <v>96</v>
      </c>
      <c r="F105" s="28" t="s">
        <v>92</v>
      </c>
    </row>
    <row r="106" spans="1:6" ht="43.2" x14ac:dyDescent="0.3">
      <c r="A106" s="28">
        <v>33</v>
      </c>
      <c r="B106" s="28" t="s">
        <v>398</v>
      </c>
      <c r="C106" s="28">
        <v>1</v>
      </c>
      <c r="D106" s="28" t="s">
        <v>423</v>
      </c>
      <c r="E106" s="28" t="s">
        <v>9</v>
      </c>
      <c r="F106" s="28" t="s">
        <v>6</v>
      </c>
    </row>
    <row r="107" spans="1:6" ht="43.2" x14ac:dyDescent="0.3">
      <c r="A107" s="28">
        <v>78</v>
      </c>
      <c r="B107" s="28" t="s">
        <v>398</v>
      </c>
      <c r="C107" s="28">
        <v>5</v>
      </c>
      <c r="D107" s="28" t="s">
        <v>406</v>
      </c>
      <c r="E107" s="28" t="s">
        <v>54</v>
      </c>
      <c r="F107" s="28" t="s">
        <v>92</v>
      </c>
    </row>
    <row r="108" spans="1:6" ht="100.8" x14ac:dyDescent="0.3">
      <c r="A108" s="28">
        <v>14</v>
      </c>
      <c r="B108" s="28" t="s">
        <v>398</v>
      </c>
      <c r="C108" s="28">
        <v>3</v>
      </c>
      <c r="D108" s="28" t="s">
        <v>410</v>
      </c>
      <c r="E108" s="28" t="s">
        <v>8</v>
      </c>
      <c r="F108" s="28" t="s">
        <v>6</v>
      </c>
    </row>
    <row r="109" spans="1:6" ht="187.2" x14ac:dyDescent="0.3">
      <c r="A109" s="28">
        <v>41</v>
      </c>
      <c r="B109" s="28" t="s">
        <v>430</v>
      </c>
      <c r="C109" s="28">
        <v>1</v>
      </c>
      <c r="D109" s="28" t="s">
        <v>431</v>
      </c>
      <c r="E109" s="28" t="s">
        <v>85</v>
      </c>
      <c r="F109" s="28" t="s">
        <v>79</v>
      </c>
    </row>
    <row r="110" spans="1:6" ht="187.2" x14ac:dyDescent="0.3">
      <c r="A110" s="28">
        <v>41</v>
      </c>
      <c r="B110" s="28" t="s">
        <v>430</v>
      </c>
      <c r="C110" s="28">
        <v>1</v>
      </c>
      <c r="D110" s="28" t="s">
        <v>431</v>
      </c>
      <c r="E110" s="28" t="s">
        <v>85</v>
      </c>
      <c r="F110" s="28" t="s">
        <v>32</v>
      </c>
    </row>
    <row r="111" spans="1:6" ht="244.8" x14ac:dyDescent="0.3">
      <c r="A111" s="28">
        <v>21</v>
      </c>
      <c r="B111" s="28" t="s">
        <v>432</v>
      </c>
      <c r="C111" s="28">
        <v>1</v>
      </c>
      <c r="D111" s="28" t="s">
        <v>433</v>
      </c>
      <c r="E111" s="28" t="s">
        <v>86</v>
      </c>
      <c r="F111" s="28" t="s">
        <v>92</v>
      </c>
    </row>
    <row r="112" spans="1:6" ht="230.4" x14ac:dyDescent="0.3">
      <c r="A112" s="28">
        <v>51</v>
      </c>
      <c r="B112" s="28" t="s">
        <v>432</v>
      </c>
      <c r="C112" s="28">
        <v>1</v>
      </c>
      <c r="D112" s="28" t="s">
        <v>434</v>
      </c>
      <c r="E112" s="28" t="s">
        <v>59</v>
      </c>
      <c r="F112" s="28" t="s">
        <v>6</v>
      </c>
    </row>
    <row r="113" spans="1:6" ht="100.8" x14ac:dyDescent="0.3">
      <c r="A113" s="28">
        <v>35</v>
      </c>
      <c r="B113" s="28" t="s">
        <v>432</v>
      </c>
      <c r="C113" s="28">
        <v>2</v>
      </c>
      <c r="D113" s="28" t="s">
        <v>436</v>
      </c>
      <c r="E113" s="28" t="s">
        <v>102</v>
      </c>
      <c r="F113" s="28" t="s">
        <v>13</v>
      </c>
    </row>
    <row r="114" spans="1:6" ht="230.4" x14ac:dyDescent="0.3">
      <c r="A114" s="28">
        <v>51</v>
      </c>
      <c r="B114" s="28" t="s">
        <v>432</v>
      </c>
      <c r="C114" s="28">
        <v>1</v>
      </c>
      <c r="D114" s="28" t="s">
        <v>434</v>
      </c>
      <c r="E114" s="28" t="s">
        <v>59</v>
      </c>
      <c r="F114" s="28" t="s">
        <v>32</v>
      </c>
    </row>
    <row r="115" spans="1:6" ht="100.8" x14ac:dyDescent="0.3">
      <c r="A115" s="28">
        <v>61</v>
      </c>
      <c r="B115" s="28" t="s">
        <v>432</v>
      </c>
      <c r="C115" s="28">
        <v>1</v>
      </c>
      <c r="D115" s="28" t="s">
        <v>435</v>
      </c>
      <c r="E115" s="28" t="s">
        <v>101</v>
      </c>
      <c r="F115" s="28" t="s">
        <v>92</v>
      </c>
    </row>
    <row r="116" spans="1:6" ht="230.4" x14ac:dyDescent="0.3">
      <c r="A116" s="28">
        <v>51</v>
      </c>
      <c r="B116" s="28" t="s">
        <v>432</v>
      </c>
      <c r="C116" s="28">
        <v>1</v>
      </c>
      <c r="D116" s="28" t="s">
        <v>434</v>
      </c>
      <c r="E116" s="28" t="s">
        <v>59</v>
      </c>
      <c r="F116" s="28" t="s">
        <v>79</v>
      </c>
    </row>
    <row r="117" spans="1:6" ht="129.6" x14ac:dyDescent="0.3">
      <c r="A117" s="28">
        <v>32</v>
      </c>
      <c r="B117" s="28" t="s">
        <v>437</v>
      </c>
      <c r="C117" s="28">
        <v>2</v>
      </c>
      <c r="D117" s="28" t="s">
        <v>438</v>
      </c>
      <c r="E117" s="28" t="s">
        <v>23</v>
      </c>
      <c r="F117" s="28" t="s">
        <v>79</v>
      </c>
    </row>
    <row r="118" spans="1:6" ht="129.6" x14ac:dyDescent="0.3">
      <c r="A118" s="28">
        <v>32</v>
      </c>
      <c r="B118" s="28" t="s">
        <v>437</v>
      </c>
      <c r="C118" s="28">
        <v>2</v>
      </c>
      <c r="D118" s="28" t="s">
        <v>438</v>
      </c>
      <c r="E118" s="28" t="s">
        <v>23</v>
      </c>
      <c r="F118" s="28" t="s">
        <v>13</v>
      </c>
    </row>
    <row r="119" spans="1:6" ht="201.6" x14ac:dyDescent="0.3">
      <c r="A119" s="28">
        <v>40</v>
      </c>
      <c r="B119" s="28" t="s">
        <v>437</v>
      </c>
      <c r="C119" s="28">
        <v>1</v>
      </c>
      <c r="D119" s="28" t="s">
        <v>439</v>
      </c>
      <c r="E119" s="28" t="s">
        <v>60</v>
      </c>
      <c r="F119" s="28" t="s">
        <v>32</v>
      </c>
    </row>
    <row r="120" spans="1:6" ht="201.6" x14ac:dyDescent="0.3">
      <c r="A120" s="28">
        <v>40</v>
      </c>
      <c r="B120" s="28" t="s">
        <v>437</v>
      </c>
      <c r="C120" s="28">
        <v>1</v>
      </c>
      <c r="D120" s="28" t="s">
        <v>439</v>
      </c>
      <c r="E120" s="28" t="s">
        <v>60</v>
      </c>
      <c r="F120" s="28" t="s">
        <v>79</v>
      </c>
    </row>
    <row r="121" spans="1:6" ht="129.6" x14ac:dyDescent="0.3">
      <c r="A121" s="28">
        <v>32</v>
      </c>
      <c r="B121" s="28" t="s">
        <v>437</v>
      </c>
      <c r="C121" s="28">
        <v>2</v>
      </c>
      <c r="D121" s="28" t="s">
        <v>438</v>
      </c>
      <c r="E121" s="28" t="s">
        <v>23</v>
      </c>
      <c r="F121" s="28" t="s">
        <v>32</v>
      </c>
    </row>
    <row r="122" spans="1:6" ht="57.6" x14ac:dyDescent="0.3">
      <c r="A122" s="28">
        <v>24</v>
      </c>
      <c r="B122" s="28" t="s">
        <v>440</v>
      </c>
      <c r="C122" s="28">
        <v>1</v>
      </c>
      <c r="D122" s="28" t="s">
        <v>441</v>
      </c>
      <c r="E122" s="28" t="s">
        <v>24</v>
      </c>
      <c r="F122" s="28" t="s">
        <v>32</v>
      </c>
    </row>
    <row r="123" spans="1:6" ht="57.6" x14ac:dyDescent="0.3">
      <c r="A123" s="28">
        <v>24</v>
      </c>
      <c r="B123" s="28" t="s">
        <v>440</v>
      </c>
      <c r="C123" s="28">
        <v>1</v>
      </c>
      <c r="D123" s="28" t="s">
        <v>441</v>
      </c>
      <c r="E123" s="28" t="s">
        <v>24</v>
      </c>
      <c r="F123" s="28" t="s">
        <v>13</v>
      </c>
    </row>
    <row r="124" spans="1:6" ht="100.8" x14ac:dyDescent="0.3">
      <c r="A124" s="28">
        <v>19</v>
      </c>
      <c r="B124" s="28" t="s">
        <v>442</v>
      </c>
      <c r="C124" s="28">
        <v>1</v>
      </c>
      <c r="D124" s="28" t="s">
        <v>444</v>
      </c>
      <c r="E124" s="28" t="s">
        <v>61</v>
      </c>
      <c r="F124" s="28" t="s">
        <v>32</v>
      </c>
    </row>
    <row r="125" spans="1:6" ht="57.6" x14ac:dyDescent="0.3">
      <c r="A125" s="28">
        <v>62</v>
      </c>
      <c r="B125" s="28" t="s">
        <v>442</v>
      </c>
      <c r="C125" s="28">
        <v>1</v>
      </c>
      <c r="D125" s="28" t="s">
        <v>447</v>
      </c>
      <c r="E125" s="28" t="s">
        <v>62</v>
      </c>
      <c r="F125" s="28" t="s">
        <v>32</v>
      </c>
    </row>
    <row r="126" spans="1:6" ht="72" x14ac:dyDescent="0.3">
      <c r="A126" s="28">
        <v>44</v>
      </c>
      <c r="B126" s="28" t="s">
        <v>442</v>
      </c>
      <c r="C126" s="28">
        <v>5</v>
      </c>
      <c r="D126" s="28" t="s">
        <v>446</v>
      </c>
      <c r="E126" s="28" t="s">
        <v>26</v>
      </c>
      <c r="F126" s="28" t="s">
        <v>32</v>
      </c>
    </row>
    <row r="127" spans="1:6" ht="28.8" x14ac:dyDescent="0.3">
      <c r="A127" s="28">
        <v>55</v>
      </c>
      <c r="B127" s="28" t="s">
        <v>442</v>
      </c>
      <c r="C127" s="28">
        <v>4</v>
      </c>
      <c r="D127" s="28" t="s">
        <v>443</v>
      </c>
      <c r="E127" s="28" t="s">
        <v>102</v>
      </c>
      <c r="F127" s="28" t="s">
        <v>13</v>
      </c>
    </row>
    <row r="128" spans="1:6" ht="72" x14ac:dyDescent="0.3">
      <c r="A128" s="28">
        <v>20</v>
      </c>
      <c r="B128" s="28" t="s">
        <v>442</v>
      </c>
      <c r="C128" s="28">
        <v>4</v>
      </c>
      <c r="D128" s="28" t="s">
        <v>445</v>
      </c>
      <c r="E128" s="28" t="s">
        <v>25</v>
      </c>
      <c r="F128" s="28" t="s">
        <v>13</v>
      </c>
    </row>
    <row r="129" spans="1:6" ht="72" x14ac:dyDescent="0.3">
      <c r="A129" s="28">
        <v>44</v>
      </c>
      <c r="B129" s="28" t="s">
        <v>442</v>
      </c>
      <c r="C129" s="28">
        <v>5</v>
      </c>
      <c r="D129" s="28" t="s">
        <v>446</v>
      </c>
      <c r="E129" s="28" t="s">
        <v>26</v>
      </c>
      <c r="F129" s="28" t="s">
        <v>13</v>
      </c>
    </row>
    <row r="130" spans="1:6" ht="72" x14ac:dyDescent="0.3">
      <c r="A130" s="28">
        <v>44</v>
      </c>
      <c r="B130" s="28" t="s">
        <v>442</v>
      </c>
      <c r="C130" s="28">
        <v>5</v>
      </c>
      <c r="D130" s="28" t="s">
        <v>446</v>
      </c>
      <c r="E130" s="28" t="s">
        <v>26</v>
      </c>
      <c r="F130" s="28" t="s">
        <v>79</v>
      </c>
    </row>
    <row r="131" spans="1:6" ht="57.6" x14ac:dyDescent="0.3">
      <c r="A131" s="28">
        <v>62</v>
      </c>
      <c r="B131" s="28" t="s">
        <v>442</v>
      </c>
      <c r="C131" s="28">
        <v>1</v>
      </c>
      <c r="D131" s="28" t="s">
        <v>447</v>
      </c>
      <c r="E131" s="28" t="s">
        <v>62</v>
      </c>
      <c r="F131" s="28" t="s">
        <v>92</v>
      </c>
    </row>
    <row r="132" spans="1:6" ht="72" x14ac:dyDescent="0.3">
      <c r="A132" s="28">
        <v>20</v>
      </c>
      <c r="B132" s="28" t="s">
        <v>442</v>
      </c>
      <c r="C132" s="28">
        <v>4</v>
      </c>
      <c r="D132" s="28" t="s">
        <v>445</v>
      </c>
      <c r="E132" s="28" t="s">
        <v>25</v>
      </c>
      <c r="F132" s="28" t="s">
        <v>92</v>
      </c>
    </row>
    <row r="133" spans="1:6" ht="100.8" x14ac:dyDescent="0.3">
      <c r="A133" s="28">
        <v>19</v>
      </c>
      <c r="B133" s="28" t="s">
        <v>442</v>
      </c>
      <c r="C133" s="28">
        <v>1</v>
      </c>
      <c r="D133" s="28" t="s">
        <v>444</v>
      </c>
      <c r="E133" s="28" t="s">
        <v>61</v>
      </c>
      <c r="F133" s="28" t="s">
        <v>13</v>
      </c>
    </row>
    <row r="134" spans="1:6" ht="86.4" x14ac:dyDescent="0.3">
      <c r="A134" s="28">
        <v>13</v>
      </c>
      <c r="B134" s="28" t="s">
        <v>448</v>
      </c>
      <c r="C134" s="28">
        <v>1</v>
      </c>
      <c r="D134" s="28" t="s">
        <v>451</v>
      </c>
      <c r="E134" s="28" t="s">
        <v>103</v>
      </c>
      <c r="F134" s="28" t="s">
        <v>92</v>
      </c>
    </row>
    <row r="135" spans="1:6" ht="216" x14ac:dyDescent="0.3">
      <c r="A135" s="28">
        <v>26</v>
      </c>
      <c r="B135" s="28" t="s">
        <v>448</v>
      </c>
      <c r="C135" s="28">
        <v>1</v>
      </c>
      <c r="D135" s="28" t="s">
        <v>449</v>
      </c>
      <c r="E135" s="28" t="s">
        <v>65</v>
      </c>
      <c r="F135" s="28" t="s">
        <v>32</v>
      </c>
    </row>
    <row r="136" spans="1:6" ht="115.2" x14ac:dyDescent="0.3">
      <c r="A136" s="28">
        <v>12</v>
      </c>
      <c r="B136" s="28" t="s">
        <v>448</v>
      </c>
      <c r="C136" s="28">
        <v>2</v>
      </c>
      <c r="D136" s="28" t="s">
        <v>450</v>
      </c>
      <c r="E136" s="28" t="s">
        <v>64</v>
      </c>
      <c r="F136" s="28" t="s">
        <v>32</v>
      </c>
    </row>
    <row r="137" spans="1:6" ht="28.8" x14ac:dyDescent="0.3">
      <c r="A137" s="28">
        <v>99</v>
      </c>
      <c r="B137" s="28" t="s">
        <v>448</v>
      </c>
      <c r="C137" s="28">
        <v>5</v>
      </c>
      <c r="D137" s="28" t="s">
        <v>452</v>
      </c>
      <c r="E137" s="28" t="s">
        <v>63</v>
      </c>
      <c r="F137" s="28" t="s">
        <v>32</v>
      </c>
    </row>
    <row r="138" spans="1:6" x14ac:dyDescent="0.3">
      <c r="A138" s="28">
        <v>47</v>
      </c>
      <c r="B138" s="28" t="s">
        <v>453</v>
      </c>
      <c r="C138" s="28">
        <v>1</v>
      </c>
      <c r="D138" s="28" t="s">
        <v>456</v>
      </c>
      <c r="E138" s="28" t="s">
        <v>87</v>
      </c>
      <c r="F138" s="28" t="s">
        <v>79</v>
      </c>
    </row>
    <row r="139" spans="1:6" ht="86.4" x14ac:dyDescent="0.3">
      <c r="A139" s="28">
        <v>56</v>
      </c>
      <c r="B139" s="28" t="s">
        <v>453</v>
      </c>
      <c r="C139" s="28">
        <v>3</v>
      </c>
      <c r="D139" s="28" t="s">
        <v>455</v>
      </c>
      <c r="E139" s="28" t="s">
        <v>66</v>
      </c>
      <c r="F139" s="28" t="s">
        <v>32</v>
      </c>
    </row>
    <row r="140" spans="1:6" ht="43.2" x14ac:dyDescent="0.3">
      <c r="A140" s="28">
        <v>15</v>
      </c>
      <c r="B140" s="28" t="s">
        <v>453</v>
      </c>
      <c r="C140" s="28">
        <v>1</v>
      </c>
      <c r="D140" s="28" t="s">
        <v>454</v>
      </c>
      <c r="E140" s="28" t="s">
        <v>67</v>
      </c>
      <c r="F140" s="28" t="s">
        <v>90</v>
      </c>
    </row>
    <row r="141" spans="1:6" ht="43.2" x14ac:dyDescent="0.3">
      <c r="A141" s="28">
        <v>15</v>
      </c>
      <c r="B141" s="28" t="s">
        <v>453</v>
      </c>
      <c r="C141" s="28">
        <v>1</v>
      </c>
      <c r="D141" s="28" t="s">
        <v>454</v>
      </c>
      <c r="E141" s="28" t="s">
        <v>67</v>
      </c>
      <c r="F141" s="28" t="s">
        <v>32</v>
      </c>
    </row>
    <row r="142" spans="1:6" ht="43.2" x14ac:dyDescent="0.3">
      <c r="A142" s="28">
        <v>45</v>
      </c>
      <c r="B142" s="28" t="s">
        <v>457</v>
      </c>
      <c r="C142" s="28">
        <v>1</v>
      </c>
      <c r="D142" s="28" t="s">
        <v>458</v>
      </c>
      <c r="E142" s="28" t="s">
        <v>68</v>
      </c>
      <c r="F142" s="28" t="s">
        <v>79</v>
      </c>
    </row>
    <row r="143" spans="1:6" ht="43.2" x14ac:dyDescent="0.3">
      <c r="A143" s="28">
        <v>45</v>
      </c>
      <c r="B143" s="28" t="s">
        <v>457</v>
      </c>
      <c r="C143" s="28">
        <v>1</v>
      </c>
      <c r="D143" s="28" t="s">
        <v>458</v>
      </c>
      <c r="E143" s="28" t="s">
        <v>68</v>
      </c>
      <c r="F143" s="28" t="s">
        <v>32</v>
      </c>
    </row>
    <row r="144" spans="1:6" x14ac:dyDescent="0.3">
      <c r="A144" s="28">
        <v>60</v>
      </c>
      <c r="B144" s="28" t="s">
        <v>457</v>
      </c>
      <c r="C144" s="28">
        <v>4</v>
      </c>
      <c r="D144" s="28" t="s">
        <v>460</v>
      </c>
      <c r="E144" s="28" t="s">
        <v>27</v>
      </c>
      <c r="F144" s="28" t="s">
        <v>32</v>
      </c>
    </row>
    <row r="145" spans="1:6" ht="100.8" x14ac:dyDescent="0.3">
      <c r="A145" s="28">
        <v>25</v>
      </c>
      <c r="B145" s="28" t="s">
        <v>457</v>
      </c>
      <c r="C145" s="28">
        <v>1</v>
      </c>
      <c r="D145" s="28" t="s">
        <v>459</v>
      </c>
      <c r="E145" s="28" t="s">
        <v>88</v>
      </c>
      <c r="F145" s="28" t="s">
        <v>79</v>
      </c>
    </row>
    <row r="146" spans="1:6" ht="100.8" x14ac:dyDescent="0.3">
      <c r="A146" s="28">
        <v>25</v>
      </c>
      <c r="B146" s="28" t="s">
        <v>457</v>
      </c>
      <c r="C146" s="28">
        <v>1</v>
      </c>
      <c r="D146" s="28" t="s">
        <v>459</v>
      </c>
      <c r="E146" s="28" t="s">
        <v>88</v>
      </c>
      <c r="F146" s="28" t="s">
        <v>91</v>
      </c>
    </row>
    <row r="147" spans="1:6" x14ac:dyDescent="0.3">
      <c r="A147" s="28">
        <v>38</v>
      </c>
      <c r="B147" s="28" t="s">
        <v>457</v>
      </c>
      <c r="C147" s="28">
        <v>5</v>
      </c>
      <c r="D147" s="28" t="s">
        <v>461</v>
      </c>
      <c r="E147" s="28" t="s">
        <v>98</v>
      </c>
      <c r="F147" s="28" t="s">
        <v>92</v>
      </c>
    </row>
    <row r="148" spans="1:6" ht="129.6" x14ac:dyDescent="0.3">
      <c r="A148" s="28">
        <v>10</v>
      </c>
      <c r="B148" s="28" t="s">
        <v>462</v>
      </c>
      <c r="C148" s="28">
        <v>4</v>
      </c>
      <c r="D148" s="28" t="s">
        <v>465</v>
      </c>
      <c r="E148" s="28" t="s">
        <v>71</v>
      </c>
      <c r="F148" s="28" t="s">
        <v>92</v>
      </c>
    </row>
    <row r="149" spans="1:6" ht="187.2" x14ac:dyDescent="0.3">
      <c r="A149" s="28">
        <v>7</v>
      </c>
      <c r="B149" s="28" t="s">
        <v>462</v>
      </c>
      <c r="C149" s="28">
        <v>1</v>
      </c>
      <c r="D149" s="28" t="s">
        <v>464</v>
      </c>
      <c r="E149" s="28" t="s">
        <v>72</v>
      </c>
      <c r="F149" s="28" t="s">
        <v>92</v>
      </c>
    </row>
    <row r="150" spans="1:6" ht="28.8" x14ac:dyDescent="0.3">
      <c r="A150" s="28">
        <v>29</v>
      </c>
      <c r="B150" s="28" t="s">
        <v>462</v>
      </c>
      <c r="C150" s="28">
        <v>1</v>
      </c>
      <c r="D150" s="28" t="s">
        <v>466</v>
      </c>
      <c r="E150" s="28" t="s">
        <v>104</v>
      </c>
      <c r="F150" s="28" t="s">
        <v>92</v>
      </c>
    </row>
    <row r="151" spans="1:6" ht="72" x14ac:dyDescent="0.3">
      <c r="A151" s="28">
        <v>1</v>
      </c>
      <c r="B151" s="28" t="s">
        <v>462</v>
      </c>
      <c r="C151" s="28">
        <v>1</v>
      </c>
      <c r="D151" s="28" t="s">
        <v>468</v>
      </c>
      <c r="E151" s="28" t="s">
        <v>28</v>
      </c>
      <c r="F151" s="28" t="s">
        <v>32</v>
      </c>
    </row>
    <row r="152" spans="1:6" ht="187.2" x14ac:dyDescent="0.3">
      <c r="A152" s="28">
        <v>7</v>
      </c>
      <c r="B152" s="28" t="s">
        <v>462</v>
      </c>
      <c r="C152" s="28">
        <v>1</v>
      </c>
      <c r="D152" s="28" t="s">
        <v>464</v>
      </c>
      <c r="E152" s="28" t="s">
        <v>72</v>
      </c>
      <c r="F152" s="28" t="s">
        <v>32</v>
      </c>
    </row>
    <row r="153" spans="1:6" ht="72" x14ac:dyDescent="0.3">
      <c r="A153" s="28">
        <v>9</v>
      </c>
      <c r="B153" s="28" t="s">
        <v>462</v>
      </c>
      <c r="C153" s="28">
        <v>1</v>
      </c>
      <c r="D153" s="28" t="s">
        <v>463</v>
      </c>
      <c r="E153" s="28" t="s">
        <v>11</v>
      </c>
      <c r="F153" s="28" t="s">
        <v>32</v>
      </c>
    </row>
    <row r="154" spans="1:6" ht="28.8" x14ac:dyDescent="0.3">
      <c r="A154" s="28">
        <v>39</v>
      </c>
      <c r="B154" s="28" t="s">
        <v>462</v>
      </c>
      <c r="C154" s="28">
        <v>5</v>
      </c>
      <c r="D154" s="28" t="s">
        <v>467</v>
      </c>
      <c r="E154" s="28" t="s">
        <v>69</v>
      </c>
      <c r="F154" s="28" t="s">
        <v>13</v>
      </c>
    </row>
    <row r="155" spans="1:6" ht="72" x14ac:dyDescent="0.3">
      <c r="A155" s="28">
        <v>9</v>
      </c>
      <c r="B155" s="28" t="s">
        <v>462</v>
      </c>
      <c r="C155" s="28">
        <v>1</v>
      </c>
      <c r="D155" s="28" t="s">
        <v>463</v>
      </c>
      <c r="E155" s="28" t="s">
        <v>11</v>
      </c>
      <c r="F155" s="28" t="s">
        <v>92</v>
      </c>
    </row>
    <row r="156" spans="1:6" ht="129.6" x14ac:dyDescent="0.3">
      <c r="A156" s="28">
        <v>10</v>
      </c>
      <c r="B156" s="28" t="s">
        <v>462</v>
      </c>
      <c r="C156" s="28">
        <v>4</v>
      </c>
      <c r="D156" s="28" t="s">
        <v>465</v>
      </c>
      <c r="E156" s="28" t="s">
        <v>71</v>
      </c>
      <c r="F156" s="28" t="s">
        <v>13</v>
      </c>
    </row>
    <row r="157" spans="1:6" ht="72" x14ac:dyDescent="0.3">
      <c r="A157" s="28">
        <v>9</v>
      </c>
      <c r="B157" s="28" t="s">
        <v>462</v>
      </c>
      <c r="C157" s="28">
        <v>1</v>
      </c>
      <c r="D157" s="28" t="s">
        <v>463</v>
      </c>
      <c r="E157" s="28" t="s">
        <v>11</v>
      </c>
      <c r="F157" s="28" t="s">
        <v>13</v>
      </c>
    </row>
    <row r="158" spans="1:6" ht="28.8" x14ac:dyDescent="0.3">
      <c r="A158" s="28">
        <v>29</v>
      </c>
      <c r="B158" s="28" t="s">
        <v>462</v>
      </c>
      <c r="C158" s="28">
        <v>1</v>
      </c>
      <c r="D158" s="28" t="s">
        <v>466</v>
      </c>
      <c r="E158" s="28" t="s">
        <v>104</v>
      </c>
      <c r="F158" s="28" t="s">
        <v>13</v>
      </c>
    </row>
    <row r="159" spans="1:6" ht="72" x14ac:dyDescent="0.3">
      <c r="A159" s="28">
        <v>9</v>
      </c>
      <c r="B159" s="28" t="s">
        <v>462</v>
      </c>
      <c r="C159" s="28">
        <v>1</v>
      </c>
      <c r="D159" s="28" t="s">
        <v>463</v>
      </c>
      <c r="E159" s="28" t="s">
        <v>11</v>
      </c>
      <c r="F159" s="28" t="s">
        <v>6</v>
      </c>
    </row>
    <row r="160" spans="1:6" ht="72" x14ac:dyDescent="0.3">
      <c r="A160" s="28">
        <v>11</v>
      </c>
      <c r="B160" s="28" t="s">
        <v>462</v>
      </c>
      <c r="C160" s="28">
        <v>1</v>
      </c>
      <c r="D160" s="28" t="s">
        <v>469</v>
      </c>
      <c r="E160" s="28" t="s">
        <v>70</v>
      </c>
      <c r="F160" s="28" t="s">
        <v>32</v>
      </c>
    </row>
    <row r="161" spans="1:6" ht="28.8" x14ac:dyDescent="0.3">
      <c r="A161" s="28">
        <v>39</v>
      </c>
      <c r="B161" s="28" t="s">
        <v>462</v>
      </c>
      <c r="C161" s="28">
        <v>5</v>
      </c>
      <c r="D161" s="28" t="s">
        <v>467</v>
      </c>
      <c r="E161" s="28" t="s">
        <v>69</v>
      </c>
      <c r="F161" s="28" t="s">
        <v>32</v>
      </c>
    </row>
    <row r="162" spans="1:6" ht="129.6" x14ac:dyDescent="0.3">
      <c r="A162" s="28">
        <v>10</v>
      </c>
      <c r="B162" s="28" t="s">
        <v>462</v>
      </c>
      <c r="C162" s="28">
        <v>4</v>
      </c>
      <c r="D162" s="28" t="s">
        <v>465</v>
      </c>
      <c r="E162" s="28" t="s">
        <v>71</v>
      </c>
      <c r="F162" s="28" t="s">
        <v>32</v>
      </c>
    </row>
    <row r="163" spans="1:6" ht="72" x14ac:dyDescent="0.3">
      <c r="A163" s="28">
        <v>1</v>
      </c>
      <c r="B163" s="28" t="s">
        <v>462</v>
      </c>
      <c r="C163" s="28">
        <v>1</v>
      </c>
      <c r="D163" s="28" t="s">
        <v>468</v>
      </c>
      <c r="E163" s="28" t="s">
        <v>28</v>
      </c>
      <c r="F163" s="28" t="s">
        <v>79</v>
      </c>
    </row>
    <row r="164" spans="1:6" ht="43.2" x14ac:dyDescent="0.3">
      <c r="A164" s="28">
        <v>16</v>
      </c>
      <c r="B164" s="28" t="s">
        <v>470</v>
      </c>
      <c r="C164" s="28">
        <v>2</v>
      </c>
      <c r="D164" s="28" t="s">
        <v>471</v>
      </c>
      <c r="E164" s="28" t="s">
        <v>74</v>
      </c>
      <c r="F164" s="28" t="s">
        <v>32</v>
      </c>
    </row>
    <row r="165" spans="1:6" ht="72" x14ac:dyDescent="0.3">
      <c r="A165" s="28">
        <v>5</v>
      </c>
      <c r="B165" s="28" t="s">
        <v>470</v>
      </c>
      <c r="C165" s="28">
        <v>1</v>
      </c>
      <c r="D165" s="28" t="s">
        <v>472</v>
      </c>
      <c r="E165" s="28" t="s">
        <v>75</v>
      </c>
      <c r="F165" s="28" t="s">
        <v>32</v>
      </c>
    </row>
    <row r="166" spans="1:6" ht="43.2" x14ac:dyDescent="0.3">
      <c r="A166" s="28">
        <v>18</v>
      </c>
      <c r="B166" s="28" t="s">
        <v>470</v>
      </c>
      <c r="C166" s="28">
        <v>1</v>
      </c>
      <c r="D166" s="28" t="s">
        <v>473</v>
      </c>
      <c r="E166" s="28" t="s">
        <v>73</v>
      </c>
      <c r="F166" s="28" t="s">
        <v>32</v>
      </c>
    </row>
    <row r="167" spans="1:6" ht="43.2" x14ac:dyDescent="0.3">
      <c r="A167" s="28">
        <v>16</v>
      </c>
      <c r="B167" s="28" t="s">
        <v>470</v>
      </c>
      <c r="C167" s="28">
        <v>2</v>
      </c>
      <c r="D167" s="28" t="s">
        <v>471</v>
      </c>
      <c r="E167" s="28" t="s">
        <v>74</v>
      </c>
      <c r="F167" s="28" t="s">
        <v>13</v>
      </c>
    </row>
    <row r="168" spans="1:6" ht="86.4" x14ac:dyDescent="0.3">
      <c r="A168" s="28">
        <v>23</v>
      </c>
      <c r="B168" s="28" t="s">
        <v>474</v>
      </c>
      <c r="C168" s="28">
        <v>2</v>
      </c>
      <c r="D168" s="28" t="s">
        <v>476</v>
      </c>
      <c r="E168" s="28" t="s">
        <v>77</v>
      </c>
      <c r="F168" s="28" t="s">
        <v>79</v>
      </c>
    </row>
    <row r="169" spans="1:6" x14ac:dyDescent="0.3">
      <c r="A169" s="28">
        <v>27</v>
      </c>
      <c r="B169" s="28" t="s">
        <v>474</v>
      </c>
      <c r="C169" s="28">
        <v>4</v>
      </c>
      <c r="D169" s="28" t="s">
        <v>478</v>
      </c>
      <c r="E169" s="28" t="s">
        <v>98</v>
      </c>
      <c r="F169" s="28" t="s">
        <v>92</v>
      </c>
    </row>
    <row r="170" spans="1:6" ht="86.4" x14ac:dyDescent="0.3">
      <c r="A170" s="28">
        <v>23</v>
      </c>
      <c r="B170" s="28" t="s">
        <v>474</v>
      </c>
      <c r="C170" s="28">
        <v>2</v>
      </c>
      <c r="D170" s="28" t="s">
        <v>476</v>
      </c>
      <c r="E170" s="28" t="s">
        <v>77</v>
      </c>
      <c r="F170" s="28" t="s">
        <v>92</v>
      </c>
    </row>
    <row r="171" spans="1:6" ht="86.4" x14ac:dyDescent="0.3">
      <c r="A171" s="28">
        <v>23</v>
      </c>
      <c r="B171" s="28" t="s">
        <v>474</v>
      </c>
      <c r="C171" s="28">
        <v>2</v>
      </c>
      <c r="D171" s="28" t="s">
        <v>476</v>
      </c>
      <c r="E171" s="28" t="s">
        <v>77</v>
      </c>
      <c r="F171" s="28" t="s">
        <v>32</v>
      </c>
    </row>
    <row r="172" spans="1:6" ht="72" x14ac:dyDescent="0.3">
      <c r="A172" s="28">
        <v>28</v>
      </c>
      <c r="B172" s="28" t="s">
        <v>474</v>
      </c>
      <c r="C172" s="28">
        <v>2</v>
      </c>
      <c r="D172" s="28" t="s">
        <v>477</v>
      </c>
      <c r="E172" s="28" t="s">
        <v>29</v>
      </c>
      <c r="F172" s="28" t="s">
        <v>32</v>
      </c>
    </row>
    <row r="173" spans="1:6" ht="115.2" x14ac:dyDescent="0.3">
      <c r="A173" s="28">
        <v>4</v>
      </c>
      <c r="B173" s="28" t="s">
        <v>474</v>
      </c>
      <c r="C173" s="28">
        <v>5</v>
      </c>
      <c r="D173" s="28" t="s">
        <v>475</v>
      </c>
      <c r="E173" s="28" t="s">
        <v>76</v>
      </c>
      <c r="F173" s="28" t="s">
        <v>79</v>
      </c>
    </row>
    <row r="174" spans="1:6" ht="115.2" x14ac:dyDescent="0.3">
      <c r="A174" s="28">
        <v>4</v>
      </c>
      <c r="B174" s="28" t="s">
        <v>474</v>
      </c>
      <c r="C174" s="28">
        <v>5</v>
      </c>
      <c r="D174" s="28" t="s">
        <v>475</v>
      </c>
      <c r="E174" s="28" t="s">
        <v>76</v>
      </c>
      <c r="F174" s="28" t="s">
        <v>13</v>
      </c>
    </row>
    <row r="175" spans="1:6" ht="115.2" x14ac:dyDescent="0.3">
      <c r="A175" s="28">
        <v>4</v>
      </c>
      <c r="B175" s="28" t="s">
        <v>474</v>
      </c>
      <c r="C175" s="28">
        <v>5</v>
      </c>
      <c r="D175" s="28" t="s">
        <v>475</v>
      </c>
      <c r="E175" s="28" t="s">
        <v>76</v>
      </c>
      <c r="F175" s="28" t="s">
        <v>32</v>
      </c>
    </row>
    <row r="176" spans="1:6" ht="86.4" x14ac:dyDescent="0.3">
      <c r="A176" s="28">
        <v>23</v>
      </c>
      <c r="B176" s="28" t="s">
        <v>474</v>
      </c>
      <c r="C176" s="28">
        <v>2</v>
      </c>
      <c r="D176" s="28" t="s">
        <v>476</v>
      </c>
      <c r="E176" s="28" t="s">
        <v>77</v>
      </c>
      <c r="F176" s="28" t="s">
        <v>13</v>
      </c>
    </row>
    <row r="177" spans="1:6" ht="57.6" x14ac:dyDescent="0.3">
      <c r="A177" s="28">
        <v>2</v>
      </c>
      <c r="B177" s="28" t="s">
        <v>479</v>
      </c>
      <c r="C177" s="28">
        <v>4</v>
      </c>
      <c r="D177" s="28" t="s">
        <v>480</v>
      </c>
      <c r="E177" s="28" t="s">
        <v>30</v>
      </c>
      <c r="F177" s="28" t="s">
        <v>13</v>
      </c>
    </row>
    <row r="178" spans="1:6" ht="57.6" x14ac:dyDescent="0.3">
      <c r="A178" s="28">
        <v>2</v>
      </c>
      <c r="B178" s="28" t="s">
        <v>479</v>
      </c>
      <c r="C178" s="28">
        <v>4</v>
      </c>
      <c r="D178" s="28" t="s">
        <v>480</v>
      </c>
      <c r="E178" s="28" t="s">
        <v>30</v>
      </c>
      <c r="F178" s="28" t="s">
        <v>32</v>
      </c>
    </row>
    <row r="179" spans="1:6" ht="57.6" x14ac:dyDescent="0.3">
      <c r="A179" s="28">
        <v>2</v>
      </c>
      <c r="B179" s="28" t="s">
        <v>479</v>
      </c>
      <c r="C179" s="28">
        <v>4</v>
      </c>
      <c r="D179" s="28" t="s">
        <v>480</v>
      </c>
      <c r="E179" s="28" t="s">
        <v>30</v>
      </c>
      <c r="F179" s="28" t="s">
        <v>92</v>
      </c>
    </row>
    <row r="180" spans="1:6" ht="172.8" x14ac:dyDescent="0.3">
      <c r="A180" s="28">
        <v>3</v>
      </c>
      <c r="B180" s="28" t="s">
        <v>479</v>
      </c>
      <c r="C180" s="28">
        <v>1</v>
      </c>
      <c r="D180" s="28" t="s">
        <v>481</v>
      </c>
      <c r="E180" s="28" t="s">
        <v>89</v>
      </c>
      <c r="F180" s="28" t="s">
        <v>79</v>
      </c>
    </row>
    <row r="181" spans="1:6" ht="43.2" x14ac:dyDescent="0.3">
      <c r="A181" s="28">
        <v>6</v>
      </c>
      <c r="B181" s="28" t="s">
        <v>482</v>
      </c>
      <c r="C181" s="28">
        <v>1</v>
      </c>
      <c r="D181" s="28" t="s">
        <v>483</v>
      </c>
      <c r="E181" s="28" t="s">
        <v>31</v>
      </c>
      <c r="F181" s="28" t="s">
        <v>13</v>
      </c>
    </row>
    <row r="182" spans="1:6" ht="43.2" x14ac:dyDescent="0.3">
      <c r="A182" s="49">
        <v>6</v>
      </c>
      <c r="B182" s="48" t="s">
        <v>482</v>
      </c>
      <c r="C182" s="48">
        <v>1</v>
      </c>
      <c r="D182" s="48" t="s">
        <v>483</v>
      </c>
      <c r="E182" s="48" t="s">
        <v>31</v>
      </c>
      <c r="F182" s="50" t="s">
        <v>13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calculation</vt:lpstr>
      <vt:lpstr>table-SWOT</vt:lpstr>
      <vt:lpstr>database-aspect</vt:lpstr>
      <vt:lpstr>database-trend</vt:lpstr>
      <vt:lpstr>database-main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baha.t.r</dc:creator>
  <cp:lastModifiedBy>Baha Tegar Ramadhan</cp:lastModifiedBy>
  <dcterms:created xsi:type="dcterms:W3CDTF">2024-12-06T06:17:42Z</dcterms:created>
  <dcterms:modified xsi:type="dcterms:W3CDTF">2024-12-19T08:22:24Z</dcterms:modified>
</cp:coreProperties>
</file>