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4320764C-347E-4689-B90C-C0C9EB4FE557}" xr6:coauthVersionLast="47" xr6:coauthVersionMax="47" xr10:uidLastSave="{00000000-0000-0000-0000-000000000000}"/>
  <bookViews>
    <workbookView xWindow="-108" yWindow="-108" windowWidth="23256" windowHeight="12456" xr2:uid="{AAD90965-60D7-4A0B-9720-10EF26B7A504}"/>
  </bookViews>
  <sheets>
    <sheet name="dashboard" sheetId="1" r:id="rId1"/>
    <sheet name="table-SWOT" sheetId="7" r:id="rId2"/>
    <sheet name="table-review" sheetId="3" r:id="rId3"/>
    <sheet name="calculation" sheetId="4" r:id="rId4"/>
    <sheet name="EDA-calculation" sheetId="10" r:id="rId5"/>
    <sheet name="database-main" sheetId="2" r:id="rId6"/>
    <sheet name="database-trend" sheetId="9" r:id="rId7"/>
    <sheet name="database-aspect" sheetId="8" r:id="rId8"/>
  </sheets>
  <definedNames>
    <definedName name="FetchingCondiment">_xlfn._xlws.FILTER(TableTopic1[[review_id]:[aspect_sentiment]],(TableTopic1[review_time]&lt;=calculation!$D$8)*(TableTopic1[review_time]&gt;=calculation!$D$7)*(TableTopic1[topic]=INDEX(calculation!$C$22:$C$28,calculation!$D$3)))</definedName>
    <definedName name="FetchingExperience">_xlfn._xlws.FILTER(TableTopic2[[review_id]:[aspect_sentiment]],(TableTopic2[review_time]&lt;=calculation!$D$8)*(TableTopic2[review_time]&gt;=calculation!$D$7)*(TableTopic2[topic]=INDEX(calculation!$C$22:$C$28,calculation!$D$3)))</definedName>
    <definedName name="FetchingFood">_xlfn._xlws.FILTER(TableTopic3[[review_id]:[aspect_sentiment]],(TableTopic3[review_time]&lt;=calculation!$D$8)*(TableTopic3[review_time]&gt;=calculation!$D$7)*(TableTopic3[topic]=INDEX(calculation!$C$22:$C$28,calculation!$D$3)))</definedName>
    <definedName name="FetchingMiscellaneous">_xlfn._xlws.FILTER(TableTopic4[[review_id]:[aspect_sentiment]],(TableTopic4[review_time]&lt;=calculation!$D$8)*(TableTopic4[review_time]&gt;=calculation!$D$7)*(TableTopic4[topic]=INDEX(calculation!$C$22:$C$28,calculation!$D$3)))</definedName>
    <definedName name="FetchingPackage">_xlfn._xlws.FILTER(TableTopic5[[review_id]:[aspect_sentiment]],(TableTopic5[review_time]&lt;=calculation!$D$8)*(TableTopic5[review_time]&gt;=calculation!$D$7)*(TableTopic5[topic]=INDEX(calculation!$C$22:$C$28,calculation!$D$3)))</definedName>
    <definedName name="FetchingPricing">_xlfn._xlws.FILTER(TableTopic6[[review_id]:[aspect_sentiment]],(TableTopic6[review_time]&lt;=calculation!$D$8)*(TableTopic6[review_time]&gt;=calculation!$D$7)*(TableTopic6[topic]=INDEX(calculation!$C$22:$C$28,calculation!$D$3)))</definedName>
    <definedName name="FetchingService">_xlfn._xlws.FILTER(TableTopic7[[review_id]:[aspect_sentiment]],(TableTopic7[review_time]&lt;=calculation!$D$8)*(TableTopic7[review_time]&gt;=calculation!$D$7)*(TableTopic7[topic]=INDEX(calculation!$C$22:$C$28,calculation!$D$3)))</definedName>
  </definedNames>
  <calcPr calcId="191029"/>
  <pivotCaches>
    <pivotCache cacheId="4"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4" l="1" a="1"/>
  <c r="X8" i="4" s="1"/>
  <c r="H3" i="10" a="1"/>
  <c r="H3" i="10" s="1"/>
  <c r="H6" i="10" a="1"/>
  <c r="H6" i="10" s="1"/>
  <c r="J6" i="10" s="1"/>
  <c r="H7" i="10" a="1"/>
  <c r="H7" i="10" s="1"/>
  <c r="J7" i="10" s="1"/>
  <c r="H8" i="10" a="1"/>
  <c r="H8" i="10" s="1"/>
  <c r="J8" i="10" s="1"/>
  <c r="H9" i="10" a="1"/>
  <c r="H9" i="10" s="1"/>
  <c r="J9" i="10" s="1"/>
  <c r="H10" i="10" a="1"/>
  <c r="H10" i="10"/>
  <c r="J10" i="10" s="1"/>
  <c r="H11" i="10" a="1"/>
  <c r="H11" i="10" s="1"/>
  <c r="J11" i="10" s="1"/>
  <c r="H12" i="10" a="1"/>
  <c r="H12" i="10" s="1"/>
  <c r="J12" i="10" s="1"/>
  <c r="H13" i="10" a="1"/>
  <c r="H13" i="10" s="1"/>
  <c r="I13" i="10" s="1"/>
  <c r="H14" i="10" a="1"/>
  <c r="H14" i="10" s="1"/>
  <c r="J14" i="10" s="1"/>
  <c r="H15" i="10" a="1"/>
  <c r="H15" i="10"/>
  <c r="H16" i="10" a="1"/>
  <c r="H16" i="10" s="1"/>
  <c r="I16" i="10" s="1"/>
  <c r="H5" i="10" a="1"/>
  <c r="H5" i="10" s="1"/>
  <c r="J5" i="10" s="1"/>
  <c r="J15" i="10"/>
  <c r="B6" i="10"/>
  <c r="B5" i="10"/>
  <c r="D6" i="4"/>
  <c r="D8" i="4" s="1"/>
  <c r="A6" i="3" s="1" a="1"/>
  <c r="A6" i="3" s="1"/>
  <c r="D5" i="4"/>
  <c r="D7" i="4" s="1"/>
  <c r="BK15" i="4"/>
  <c r="BV70" i="4"/>
  <c r="BV71" i="4"/>
  <c r="BV72" i="4"/>
  <c r="BV73" i="4"/>
  <c r="BV74" i="4"/>
  <c r="BV75" i="4"/>
  <c r="BV76" i="4"/>
  <c r="BV77" i="4"/>
  <c r="BV78" i="4"/>
  <c r="BV79" i="4"/>
  <c r="BV80" i="4"/>
  <c r="BV69" i="4"/>
  <c r="BV81" i="4"/>
  <c r="BV82" i="4"/>
  <c r="BV83" i="4"/>
  <c r="BV84" i="4"/>
  <c r="BV85" i="4"/>
  <c r="BV86" i="4"/>
  <c r="BV87" i="4"/>
  <c r="BV88" i="4"/>
  <c r="BV89" i="4"/>
  <c r="BV90" i="4"/>
  <c r="BV91" i="4"/>
  <c r="BV92" i="4"/>
  <c r="BV93" i="4"/>
  <c r="BV94" i="4"/>
  <c r="BV95" i="4"/>
  <c r="BV96" i="4"/>
  <c r="BV97" i="4"/>
  <c r="BV98" i="4"/>
  <c r="BV68" i="4"/>
  <c r="BQ67" i="4"/>
  <c r="BM7" i="4" l="1"/>
  <c r="K14" i="10"/>
  <c r="K13" i="10"/>
  <c r="K15" i="10"/>
  <c r="L16" i="10"/>
  <c r="M16" i="10" s="1"/>
  <c r="L15" i="10"/>
  <c r="M15" i="10" s="1"/>
  <c r="K5" i="10"/>
  <c r="K16" i="10"/>
  <c r="L14" i="10"/>
  <c r="M14" i="10" s="1"/>
  <c r="L5" i="10"/>
  <c r="M5" i="10" s="1"/>
  <c r="L13" i="10"/>
  <c r="M13" i="10" s="1"/>
  <c r="K11" i="10"/>
  <c r="L11" i="10"/>
  <c r="M11" i="10" s="1"/>
  <c r="K10" i="10"/>
  <c r="L10" i="10"/>
  <c r="M10" i="10" s="1"/>
  <c r="K12" i="10"/>
  <c r="I5" i="10"/>
  <c r="K9" i="10"/>
  <c r="L9" i="10"/>
  <c r="M9" i="10" s="1"/>
  <c r="L12" i="10"/>
  <c r="M12" i="10" s="1"/>
  <c r="I10" i="10"/>
  <c r="K8" i="10"/>
  <c r="L8" i="10"/>
  <c r="M8" i="10" s="1"/>
  <c r="K7" i="10"/>
  <c r="L7" i="10"/>
  <c r="M7" i="10" s="1"/>
  <c r="K6" i="10"/>
  <c r="L6" i="10"/>
  <c r="M6" i="10" s="1"/>
  <c r="J16" i="10"/>
  <c r="I15" i="10"/>
  <c r="I14" i="10"/>
  <c r="J13" i="10"/>
  <c r="I12" i="10"/>
  <c r="I11" i="10"/>
  <c r="I9" i="10"/>
  <c r="I8" i="10"/>
  <c r="I7" i="10"/>
  <c r="I6" i="10"/>
  <c r="J8" i="4" a="1"/>
  <c r="J8" i="4" s="1"/>
  <c r="H8" i="4"/>
  <c r="H7" i="4"/>
  <c r="BK12" i="4"/>
  <c r="BK13" i="4"/>
  <c r="BK14" i="4" l="1"/>
  <c r="BM50" i="4"/>
  <c r="BR50" i="4" s="1" a="1"/>
  <c r="BR50" i="4" s="1"/>
  <c r="BM62" i="4"/>
  <c r="BR62" i="4" s="1" a="1"/>
  <c r="BR62" i="4" s="1"/>
  <c r="BM61" i="4"/>
  <c r="BR61" i="4" s="1" a="1"/>
  <c r="BR61" i="4" s="1"/>
  <c r="BM49" i="4"/>
  <c r="BN49" i="4" s="1" a="1"/>
  <c r="BN49" i="4" s="1"/>
  <c r="BM48" i="4"/>
  <c r="BR48" i="4" s="1" a="1"/>
  <c r="BR48" i="4" s="1"/>
  <c r="BM56" i="4"/>
  <c r="BR56" i="4" s="1" a="1"/>
  <c r="BR56" i="4" s="1"/>
  <c r="BM54" i="4"/>
  <c r="BR54" i="4" s="1" a="1"/>
  <c r="BR54" i="4" s="1"/>
  <c r="BM53" i="4"/>
  <c r="BR53" i="4" s="1" a="1"/>
  <c r="BR53" i="4" s="1"/>
  <c r="BM47" i="4"/>
  <c r="BR47" i="4" s="1" a="1"/>
  <c r="BR47" i="4" s="1"/>
  <c r="BM52" i="4"/>
  <c r="BR52" i="4" s="1" a="1"/>
  <c r="BR52" i="4" s="1"/>
  <c r="BM51" i="4"/>
  <c r="BR51" i="4" s="1" a="1"/>
  <c r="BR51" i="4" s="1"/>
  <c r="BM46" i="4"/>
  <c r="BR46" i="4" s="1" a="1"/>
  <c r="BR46" i="4" s="1"/>
  <c r="BM45" i="4"/>
  <c r="BR45" i="4" s="1" a="1"/>
  <c r="BR45" i="4" s="1"/>
  <c r="BM55" i="4"/>
  <c r="BR55" i="4" s="1" a="1"/>
  <c r="BR55" i="4" s="1"/>
  <c r="BM36" i="4"/>
  <c r="BR36" i="4" s="1" a="1"/>
  <c r="BR36" i="4" s="1"/>
  <c r="BM37" i="4"/>
  <c r="BR37" i="4" s="1" a="1"/>
  <c r="BR37" i="4" s="1"/>
  <c r="BO50" i="4" l="1" a="1"/>
  <c r="BO50" i="4" s="1"/>
  <c r="BN50" i="4" a="1"/>
  <c r="BN50" i="4" s="1"/>
  <c r="BP50" i="4" a="1"/>
  <c r="BP50" i="4" s="1"/>
  <c r="BQ50" i="4" a="1"/>
  <c r="BQ50" i="4" s="1"/>
  <c r="BO48" i="4" a="1"/>
  <c r="BO48" i="4" s="1"/>
  <c r="BT48" i="4" s="1"/>
  <c r="BR49" i="4" a="1"/>
  <c r="BR49" i="4" s="1"/>
  <c r="BP37" i="4" a="1"/>
  <c r="BP37" i="4" s="1"/>
  <c r="BU37" i="4" s="1"/>
  <c r="BO37" i="4" a="1"/>
  <c r="BO37" i="4" s="1"/>
  <c r="BT37" i="4" s="1"/>
  <c r="BN36" i="4" a="1"/>
  <c r="BN36" i="4" s="1"/>
  <c r="BS36" i="4" s="1"/>
  <c r="BQ37" i="4" a="1"/>
  <c r="BQ37" i="4" s="1"/>
  <c r="BQ49" i="4" a="1"/>
  <c r="BQ49" i="4" s="1"/>
  <c r="BS49" i="4" s="1"/>
  <c r="BP49" i="4" a="1"/>
  <c r="BP49" i="4" s="1"/>
  <c r="BQ48" i="4" a="1"/>
  <c r="BQ48" i="4" s="1"/>
  <c r="BP48" i="4" a="1"/>
  <c r="BP48" i="4" s="1"/>
  <c r="BO49" i="4" a="1"/>
  <c r="BO49" i="4" s="1"/>
  <c r="BN48" i="4" a="1"/>
  <c r="BN48" i="4" s="1"/>
  <c r="BS48" i="4" s="1"/>
  <c r="BQ46" i="4" a="1"/>
  <c r="BQ46" i="4" s="1"/>
  <c r="BN46" i="4" a="1"/>
  <c r="BN46" i="4" s="1"/>
  <c r="BP46" i="4" a="1"/>
  <c r="BP46" i="4" s="1"/>
  <c r="BO46" i="4" a="1"/>
  <c r="BO46" i="4" s="1"/>
  <c r="BP36" i="4" a="1"/>
  <c r="BP36" i="4" s="1"/>
  <c r="BU36" i="4" s="1"/>
  <c r="BO36" i="4" a="1"/>
  <c r="BO36" i="4" s="1"/>
  <c r="BT36" i="4" s="1"/>
  <c r="BP56" i="4" a="1"/>
  <c r="BP56" i="4" s="1"/>
  <c r="BN56" i="4" a="1"/>
  <c r="BN56" i="4" s="1"/>
  <c r="BO56" i="4" a="1"/>
  <c r="BO56" i="4" s="1"/>
  <c r="BQ56" i="4" a="1"/>
  <c r="BQ56" i="4" s="1"/>
  <c r="BP52" i="4" a="1"/>
  <c r="BP52" i="4" s="1"/>
  <c r="BO52" i="4" a="1"/>
  <c r="BO52" i="4" s="1"/>
  <c r="BN52" i="4" a="1"/>
  <c r="BN52" i="4" s="1"/>
  <c r="BS52" i="4" s="1"/>
  <c r="BQ52" i="4" a="1"/>
  <c r="BQ52" i="4" s="1"/>
  <c r="BQ36" i="4" a="1"/>
  <c r="BQ36" i="4" s="1"/>
  <c r="BQ47" i="4" a="1"/>
  <c r="BQ47" i="4" s="1"/>
  <c r="BP47" i="4" a="1"/>
  <c r="BP47" i="4" s="1"/>
  <c r="BO47" i="4" a="1"/>
  <c r="BO47" i="4" s="1"/>
  <c r="BT47" i="4" s="1"/>
  <c r="BN47" i="4" a="1"/>
  <c r="BN47" i="4" s="1"/>
  <c r="BS47" i="4" s="1"/>
  <c r="BO62" i="4" a="1"/>
  <c r="BO62" i="4" s="1"/>
  <c r="BQ62" i="4" a="1"/>
  <c r="BQ62" i="4" s="1"/>
  <c r="BN62" i="4" a="1"/>
  <c r="BN62" i="4" s="1"/>
  <c r="BP62" i="4" a="1"/>
  <c r="BP62" i="4" s="1"/>
  <c r="BO55" i="4" a="1"/>
  <c r="BO55" i="4" s="1"/>
  <c r="BQ55" i="4" a="1"/>
  <c r="BQ55" i="4" s="1"/>
  <c r="BP55" i="4" a="1"/>
  <c r="BP55" i="4" s="1"/>
  <c r="BN55" i="4" a="1"/>
  <c r="BN55" i="4" s="1"/>
  <c r="BP45" i="4" a="1"/>
  <c r="BP45" i="4" s="1"/>
  <c r="BQ45" i="4" a="1"/>
  <c r="BQ45" i="4" s="1"/>
  <c r="BO45" i="4" a="1"/>
  <c r="BO45" i="4" s="1"/>
  <c r="BN45" i="4" a="1"/>
  <c r="BN45" i="4" s="1"/>
  <c r="BN61" i="4" a="1"/>
  <c r="BN61" i="4" s="1"/>
  <c r="BP61" i="4" a="1"/>
  <c r="BP61" i="4" s="1"/>
  <c r="BQ61" i="4" a="1"/>
  <c r="BQ61" i="4" s="1"/>
  <c r="BO61" i="4" a="1"/>
  <c r="BO61" i="4" s="1"/>
  <c r="BQ54" i="4" a="1"/>
  <c r="BQ54" i="4" s="1"/>
  <c r="BN54" i="4" a="1"/>
  <c r="BN54" i="4" s="1"/>
  <c r="BS54" i="4" s="1"/>
  <c r="BP54" i="4" a="1"/>
  <c r="BP54" i="4" s="1"/>
  <c r="BO54" i="4" a="1"/>
  <c r="BO54" i="4" s="1"/>
  <c r="BO51" i="4" a="1"/>
  <c r="BO51" i="4" s="1"/>
  <c r="BT51" i="4" s="1"/>
  <c r="BN51" i="4" a="1"/>
  <c r="BN51" i="4" s="1"/>
  <c r="BS51" i="4" s="1"/>
  <c r="BQ51" i="4" a="1"/>
  <c r="BQ51" i="4" s="1"/>
  <c r="BP51" i="4" a="1"/>
  <c r="BP51" i="4" s="1"/>
  <c r="BQ53" i="4" a="1"/>
  <c r="BQ53" i="4" s="1"/>
  <c r="BN53" i="4" a="1"/>
  <c r="BN53" i="4" s="1"/>
  <c r="BP53" i="4" a="1"/>
  <c r="BP53" i="4" s="1"/>
  <c r="BO53" i="4" a="1"/>
  <c r="BO53" i="4" s="1"/>
  <c r="BT53" i="4" s="1"/>
  <c r="BN37" i="4" a="1"/>
  <c r="BN37" i="4" s="1"/>
  <c r="BS37" i="4" s="1"/>
  <c r="BT52" i="4" l="1"/>
  <c r="BU50" i="4"/>
  <c r="BT50" i="4"/>
  <c r="BS50" i="4"/>
  <c r="BT56" i="4"/>
  <c r="BU62" i="4"/>
  <c r="BU61" i="4"/>
  <c r="BU51" i="4"/>
  <c r="BU47" i="4"/>
  <c r="BU54" i="4"/>
  <c r="BS53" i="4"/>
  <c r="BS61" i="4"/>
  <c r="BS56" i="4"/>
  <c r="BU55" i="4"/>
  <c r="BS46" i="4"/>
  <c r="BU53" i="4"/>
  <c r="BS62" i="4"/>
  <c r="BU48" i="4"/>
  <c r="BU49" i="4"/>
  <c r="BT46" i="4"/>
  <c r="BS55" i="4"/>
  <c r="BU46" i="4"/>
  <c r="BT55" i="4"/>
  <c r="BU52" i="4"/>
  <c r="BT49" i="4"/>
  <c r="BT61" i="4"/>
  <c r="BU56" i="4"/>
  <c r="BT62" i="4"/>
  <c r="BT54" i="4"/>
  <c r="BS45" i="4"/>
  <c r="BT45" i="4"/>
  <c r="BU45" i="4"/>
  <c r="BM8" i="4"/>
  <c r="BR8" i="4" s="1" a="1"/>
  <c r="BR8" i="4" s="1"/>
  <c r="BM12" i="4"/>
  <c r="BR12" i="4" s="1" a="1"/>
  <c r="BR12" i="4" s="1"/>
  <c r="BM13" i="4"/>
  <c r="BR13" i="4" s="1" a="1"/>
  <c r="BR13" i="4" s="1"/>
  <c r="BM14" i="4"/>
  <c r="BR14" i="4" s="1" a="1"/>
  <c r="BR14" i="4" s="1"/>
  <c r="BM15" i="4"/>
  <c r="BR15" i="4" s="1" a="1"/>
  <c r="BR15" i="4" s="1"/>
  <c r="BM17" i="4"/>
  <c r="BR17" i="4" s="1" a="1"/>
  <c r="BR17" i="4" s="1"/>
  <c r="BM18" i="4"/>
  <c r="BR18" i="4" s="1" a="1"/>
  <c r="BR18" i="4" s="1"/>
  <c r="BM19" i="4"/>
  <c r="BR19" i="4" s="1" a="1"/>
  <c r="BR19" i="4" s="1"/>
  <c r="BM24" i="4"/>
  <c r="BR24" i="4" s="1" a="1"/>
  <c r="BR24" i="4" s="1"/>
  <c r="BM25" i="4"/>
  <c r="BR25" i="4" s="1" a="1"/>
  <c r="BR25" i="4" s="1"/>
  <c r="BM26" i="4"/>
  <c r="BR26" i="4" s="1" a="1"/>
  <c r="BR26" i="4" s="1"/>
  <c r="BM27" i="4"/>
  <c r="BR27" i="4" s="1" a="1"/>
  <c r="BR27" i="4" s="1"/>
  <c r="BM28" i="4"/>
  <c r="BR28" i="4" s="1" a="1"/>
  <c r="BR28" i="4" s="1"/>
  <c r="BM29" i="4"/>
  <c r="BR29" i="4" s="1" a="1"/>
  <c r="BR29" i="4" s="1"/>
  <c r="BM30" i="4"/>
  <c r="BR30" i="4" s="1" a="1"/>
  <c r="BR30" i="4" s="1"/>
  <c r="BM31" i="4"/>
  <c r="BR31" i="4" s="1" a="1"/>
  <c r="BR31" i="4" s="1"/>
  <c r="BR7" i="4" l="1" a="1"/>
  <c r="BR7" i="4" s="1"/>
  <c r="BO25" i="4" a="1"/>
  <c r="BO25" i="4" s="1"/>
  <c r="BT25" i="4" s="1"/>
  <c r="BP25" i="4" a="1"/>
  <c r="BP25" i="4" s="1"/>
  <c r="BU25" i="4" s="1"/>
  <c r="BN25" i="4" a="1"/>
  <c r="BN25" i="4" s="1"/>
  <c r="BS25" i="4" s="1"/>
  <c r="BQ25" i="4" a="1"/>
  <c r="BQ25" i="4" s="1"/>
  <c r="BP18" i="4" a="1"/>
  <c r="BP18" i="4" s="1"/>
  <c r="BU18" i="4" s="1"/>
  <c r="BO18" i="4" a="1"/>
  <c r="BO18" i="4" s="1"/>
  <c r="BT18" i="4" s="1"/>
  <c r="BN18" i="4" a="1"/>
  <c r="BN18" i="4" s="1"/>
  <c r="BS18" i="4" s="1"/>
  <c r="BQ18" i="4" a="1"/>
  <c r="BQ18" i="4" s="1"/>
  <c r="BN7" i="4" a="1"/>
  <c r="BN7" i="4" s="1"/>
  <c r="BQ7" i="4" a="1"/>
  <c r="BQ7" i="4" s="1"/>
  <c r="BP7" i="4" a="1"/>
  <c r="BP7" i="4" s="1"/>
  <c r="BO7" i="4" a="1"/>
  <c r="BO7" i="4" s="1"/>
  <c r="BN31" i="4" a="1"/>
  <c r="BN31" i="4" s="1"/>
  <c r="BS31" i="4" s="1"/>
  <c r="BP31" i="4" a="1"/>
  <c r="BP31" i="4" s="1"/>
  <c r="BU31" i="4" s="1"/>
  <c r="BO31" i="4" a="1"/>
  <c r="BO31" i="4" s="1"/>
  <c r="BT31" i="4" s="1"/>
  <c r="BQ31" i="4" a="1"/>
  <c r="BQ31" i="4" s="1"/>
  <c r="BO12" i="4" a="1"/>
  <c r="BO12" i="4" s="1"/>
  <c r="BN12" i="4" a="1"/>
  <c r="BN12" i="4" s="1"/>
  <c r="BQ12" i="4" a="1"/>
  <c r="BQ12" i="4" s="1"/>
  <c r="BP12" i="4" a="1"/>
  <c r="BP12" i="4" s="1"/>
  <c r="BO26" i="4" a="1"/>
  <c r="BO26" i="4" s="1"/>
  <c r="BT26" i="4" s="1"/>
  <c r="BN26" i="4" a="1"/>
  <c r="BN26" i="4" s="1"/>
  <c r="BS26" i="4" s="1"/>
  <c r="BQ26" i="4" a="1"/>
  <c r="BQ26" i="4" s="1"/>
  <c r="BP26" i="4" a="1"/>
  <c r="BP26" i="4" s="1"/>
  <c r="BU26" i="4" s="1"/>
  <c r="BN24" i="4" a="1"/>
  <c r="BN24" i="4" s="1"/>
  <c r="BS24" i="4" s="1"/>
  <c r="BO24" i="4" a="1"/>
  <c r="BO24" i="4" s="1"/>
  <c r="BT24" i="4" s="1"/>
  <c r="BP24" i="4" a="1"/>
  <c r="BP24" i="4" s="1"/>
  <c r="BU24" i="4" s="1"/>
  <c r="BQ24" i="4" a="1"/>
  <c r="BQ24" i="4" s="1"/>
  <c r="BO19" i="4" a="1"/>
  <c r="BO19" i="4" s="1"/>
  <c r="BT19" i="4" s="1"/>
  <c r="BP19" i="4" a="1"/>
  <c r="BP19" i="4" s="1"/>
  <c r="BU19" i="4" s="1"/>
  <c r="BQ19" i="4" a="1"/>
  <c r="BQ19" i="4" s="1"/>
  <c r="BN19" i="4" a="1"/>
  <c r="BN19" i="4" s="1"/>
  <c r="BS19" i="4" s="1"/>
  <c r="BN17" i="4" a="1"/>
  <c r="BN17" i="4" s="1"/>
  <c r="BS17" i="4" s="1"/>
  <c r="BP17" i="4" a="1"/>
  <c r="BP17" i="4" s="1"/>
  <c r="BU17" i="4" s="1"/>
  <c r="BQ17" i="4" a="1"/>
  <c r="BQ17" i="4" s="1"/>
  <c r="BO17" i="4" a="1"/>
  <c r="BO17" i="4" s="1"/>
  <c r="BT17" i="4" s="1"/>
  <c r="BQ15" i="4" a="1"/>
  <c r="BQ15" i="4" s="1"/>
  <c r="BN15" i="4" a="1"/>
  <c r="BN15" i="4" s="1"/>
  <c r="BS15" i="4" s="1"/>
  <c r="BO15" i="4" a="1"/>
  <c r="BO15" i="4" s="1"/>
  <c r="BT15" i="4" s="1"/>
  <c r="BP15" i="4" a="1"/>
  <c r="BP15" i="4" s="1"/>
  <c r="BU15" i="4" s="1"/>
  <c r="BQ14" i="4" a="1"/>
  <c r="BQ14" i="4" s="1"/>
  <c r="BN14" i="4" a="1"/>
  <c r="BN14" i="4" s="1"/>
  <c r="BS14" i="4" s="1"/>
  <c r="BO14" i="4" a="1"/>
  <c r="BO14" i="4" s="1"/>
  <c r="BT14" i="4" s="1"/>
  <c r="BP14" i="4" a="1"/>
  <c r="BP14" i="4" s="1"/>
  <c r="BU14" i="4" s="1"/>
  <c r="BP30" i="4" a="1"/>
  <c r="BP30" i="4" s="1"/>
  <c r="BU30" i="4" s="1"/>
  <c r="BO30" i="4" a="1"/>
  <c r="BO30" i="4" s="1"/>
  <c r="BT30" i="4" s="1"/>
  <c r="BQ30" i="4" a="1"/>
  <c r="BQ30" i="4" s="1"/>
  <c r="BN30" i="4" a="1"/>
  <c r="BN30" i="4" s="1"/>
  <c r="BS30" i="4" s="1"/>
  <c r="BN13" i="4" a="1"/>
  <c r="BN13" i="4" s="1"/>
  <c r="BS13" i="4" s="1"/>
  <c r="BQ13" i="4" a="1"/>
  <c r="BQ13" i="4" s="1"/>
  <c r="BO13" i="4" a="1"/>
  <c r="BO13" i="4" s="1"/>
  <c r="BT13" i="4" s="1"/>
  <c r="BP13" i="4" a="1"/>
  <c r="BP13" i="4" s="1"/>
  <c r="BU13" i="4" s="1"/>
  <c r="BQ29" i="4" a="1"/>
  <c r="BQ29" i="4" s="1"/>
  <c r="BP29" i="4" a="1"/>
  <c r="BP29" i="4" s="1"/>
  <c r="BU29" i="4" s="1"/>
  <c r="BO29" i="4" a="1"/>
  <c r="BO29" i="4" s="1"/>
  <c r="BT29" i="4" s="1"/>
  <c r="BN29" i="4" a="1"/>
  <c r="BN29" i="4" s="1"/>
  <c r="BS29" i="4" s="1"/>
  <c r="BO28" i="4" a="1"/>
  <c r="BO28" i="4" s="1"/>
  <c r="BT28" i="4" s="1"/>
  <c r="BP28" i="4" a="1"/>
  <c r="BP28" i="4" s="1"/>
  <c r="BU28" i="4" s="1"/>
  <c r="BQ28" i="4" a="1"/>
  <c r="BQ28" i="4" s="1"/>
  <c r="BN28" i="4" a="1"/>
  <c r="BN28" i="4" s="1"/>
  <c r="BS28" i="4" s="1"/>
  <c r="BO8" i="4" a="1"/>
  <c r="BO8" i="4" s="1"/>
  <c r="BT8" i="4" s="1"/>
  <c r="BN8" i="4" a="1"/>
  <c r="BN8" i="4" s="1"/>
  <c r="BS8" i="4" s="1"/>
  <c r="BP8" i="4" a="1"/>
  <c r="BP8" i="4" s="1"/>
  <c r="BU8" i="4" s="1"/>
  <c r="BQ8" i="4" a="1"/>
  <c r="BQ8" i="4" s="1"/>
  <c r="BP27" i="4" a="1"/>
  <c r="BP27" i="4" s="1"/>
  <c r="BU27" i="4" s="1"/>
  <c r="BQ27" i="4" a="1"/>
  <c r="BQ27" i="4" s="1"/>
  <c r="BO27" i="4" a="1"/>
  <c r="BO27" i="4" s="1"/>
  <c r="BT27" i="4" s="1"/>
  <c r="BN27" i="4" a="1"/>
  <c r="BN27" i="4" s="1"/>
  <c r="BS27" i="4" s="1"/>
  <c r="BM16" i="4"/>
  <c r="BR16" i="4" s="1" a="1"/>
  <c r="BR16" i="4" s="1"/>
  <c r="BM35" i="4"/>
  <c r="BR35" i="4" s="1" a="1"/>
  <c r="BR35" i="4" s="1"/>
  <c r="BM23" i="4"/>
  <c r="BR23" i="4" s="1" a="1"/>
  <c r="BR23" i="4" s="1"/>
  <c r="BM11" i="4"/>
  <c r="BR11" i="4" s="1" a="1"/>
  <c r="BR11" i="4" s="1"/>
  <c r="BM34" i="4"/>
  <c r="BR34" i="4" s="1" a="1"/>
  <c r="BR34" i="4" s="1"/>
  <c r="BM22" i="4"/>
  <c r="BR22" i="4" s="1" a="1"/>
  <c r="BR22" i="4" s="1"/>
  <c r="BM10" i="4"/>
  <c r="BR10" i="4" s="1" a="1"/>
  <c r="BR10" i="4" s="1"/>
  <c r="BM33" i="4"/>
  <c r="BR33" i="4" s="1" a="1"/>
  <c r="BR33" i="4" s="1"/>
  <c r="BM21" i="4"/>
  <c r="BR21" i="4" s="1" a="1"/>
  <c r="BR21" i="4" s="1"/>
  <c r="BM9" i="4"/>
  <c r="BR9" i="4" s="1" a="1"/>
  <c r="BR9" i="4" s="1"/>
  <c r="BM32" i="4"/>
  <c r="BR32" i="4" s="1" a="1"/>
  <c r="BR32" i="4" s="1"/>
  <c r="BM20" i="4"/>
  <c r="BR20" i="4" s="1" a="1"/>
  <c r="BR20" i="4" s="1"/>
  <c r="AW9" i="4"/>
  <c r="BA9" i="4" s="1"/>
  <c r="AW10" i="4"/>
  <c r="BA10" i="4" s="1"/>
  <c r="AW11" i="4"/>
  <c r="BA11" i="4" s="1"/>
  <c r="AW12" i="4"/>
  <c r="BA12" i="4" s="1"/>
  <c r="AW13" i="4"/>
  <c r="AW14" i="4"/>
  <c r="BA14" i="4" s="1"/>
  <c r="AW8" i="4"/>
  <c r="BA8" i="4" s="1"/>
  <c r="BT12" i="4" l="1"/>
  <c r="BS12" i="4"/>
  <c r="BU12" i="4"/>
  <c r="AX13" i="4"/>
  <c r="BD13" i="4" s="1"/>
  <c r="BA13" i="4"/>
  <c r="BT7" i="4"/>
  <c r="BS7" i="4"/>
  <c r="BL68" i="4" a="1"/>
  <c r="BL68" i="4" s="1"/>
  <c r="BU7" i="4"/>
  <c r="BP22" i="4" a="1"/>
  <c r="BP22" i="4" s="1"/>
  <c r="BU22" i="4" s="1"/>
  <c r="BO22" i="4" a="1"/>
  <c r="BO22" i="4" s="1"/>
  <c r="BT22" i="4" s="1"/>
  <c r="BN22" i="4" a="1"/>
  <c r="BN22" i="4" s="1"/>
  <c r="BS22" i="4" s="1"/>
  <c r="BQ22" i="4" a="1"/>
  <c r="BQ22" i="4" s="1"/>
  <c r="BO34" i="4" a="1"/>
  <c r="BO34" i="4" s="1"/>
  <c r="BQ34" i="4" a="1"/>
  <c r="BQ34" i="4" s="1"/>
  <c r="BN34" i="4" a="1"/>
  <c r="BN34" i="4" s="1"/>
  <c r="BS34" i="4" s="1"/>
  <c r="BP34" i="4" a="1"/>
  <c r="BP34" i="4" s="1"/>
  <c r="BU34" i="4" s="1"/>
  <c r="BP11" i="4" a="1"/>
  <c r="BP11" i="4" s="1"/>
  <c r="BU11" i="4" s="1"/>
  <c r="BQ11" i="4" a="1"/>
  <c r="BQ11" i="4" s="1"/>
  <c r="BN11" i="4" a="1"/>
  <c r="BN11" i="4" s="1"/>
  <c r="BS11" i="4" s="1"/>
  <c r="BO11" i="4" a="1"/>
  <c r="BO11" i="4" s="1"/>
  <c r="BT11" i="4" s="1"/>
  <c r="BP35" i="4" a="1"/>
  <c r="BP35" i="4" s="1"/>
  <c r="BU35" i="4" s="1"/>
  <c r="BO35" i="4" a="1"/>
  <c r="BO35" i="4" s="1"/>
  <c r="BT35" i="4" s="1"/>
  <c r="BN35" i="4" a="1"/>
  <c r="BN35" i="4" s="1"/>
  <c r="BS35" i="4" s="1"/>
  <c r="BQ35" i="4" a="1"/>
  <c r="BQ35" i="4" s="1"/>
  <c r="BN16" i="4" a="1"/>
  <c r="BN16" i="4" s="1"/>
  <c r="BS16" i="4" s="1"/>
  <c r="BO16" i="4" a="1"/>
  <c r="BO16" i="4" s="1"/>
  <c r="BT16" i="4" s="1"/>
  <c r="BP16" i="4" a="1"/>
  <c r="BP16" i="4" s="1"/>
  <c r="BU16" i="4" s="1"/>
  <c r="BQ16" i="4" a="1"/>
  <c r="BQ16" i="4" s="1"/>
  <c r="BO21" i="4" a="1"/>
  <c r="BO21" i="4" s="1"/>
  <c r="BT21" i="4" s="1"/>
  <c r="BP21" i="4" a="1"/>
  <c r="BP21" i="4" s="1"/>
  <c r="BU21" i="4" s="1"/>
  <c r="BQ21" i="4" a="1"/>
  <c r="BQ21" i="4" s="1"/>
  <c r="BN21" i="4" a="1"/>
  <c r="BN21" i="4" s="1"/>
  <c r="BS21" i="4" s="1"/>
  <c r="BN33" i="4" a="1"/>
  <c r="BN33" i="4" s="1"/>
  <c r="BS33" i="4" s="1"/>
  <c r="BP33" i="4" a="1"/>
  <c r="BP33" i="4" s="1"/>
  <c r="BU33" i="4" s="1"/>
  <c r="BO33" i="4" a="1"/>
  <c r="BO33" i="4" s="1"/>
  <c r="BT33" i="4" s="1"/>
  <c r="BQ33" i="4" a="1"/>
  <c r="BQ33" i="4" s="1"/>
  <c r="BO23" i="4" a="1"/>
  <c r="BO23" i="4" s="1"/>
  <c r="BT23" i="4" s="1"/>
  <c r="BQ23" i="4" a="1"/>
  <c r="BQ23" i="4" s="1"/>
  <c r="BP23" i="4" a="1"/>
  <c r="BP23" i="4" s="1"/>
  <c r="BU23" i="4" s="1"/>
  <c r="BN23" i="4" a="1"/>
  <c r="BN23" i="4" s="1"/>
  <c r="BS23" i="4" s="1"/>
  <c r="BO20" i="4" a="1"/>
  <c r="BO20" i="4" s="1"/>
  <c r="BT20" i="4" s="1"/>
  <c r="BN20" i="4" a="1"/>
  <c r="BN20" i="4" s="1"/>
  <c r="BS20" i="4" s="1"/>
  <c r="BQ20" i="4" a="1"/>
  <c r="BQ20" i="4" s="1"/>
  <c r="BP20" i="4" a="1"/>
  <c r="BP20" i="4" s="1"/>
  <c r="BU20" i="4" s="1"/>
  <c r="BQ32" i="4" a="1"/>
  <c r="BQ32" i="4" s="1"/>
  <c r="BN32" i="4" a="1"/>
  <c r="BN32" i="4" s="1"/>
  <c r="BS32" i="4" s="1"/>
  <c r="BO32" i="4" a="1"/>
  <c r="BO32" i="4" s="1"/>
  <c r="BT32" i="4" s="1"/>
  <c r="BP32" i="4" a="1"/>
  <c r="BP32" i="4" s="1"/>
  <c r="BU32" i="4" s="1"/>
  <c r="BP9" i="4" a="1"/>
  <c r="BP9" i="4" s="1"/>
  <c r="BU9" i="4" s="1"/>
  <c r="BN9" i="4" a="1"/>
  <c r="BN9" i="4" s="1"/>
  <c r="BS9" i="4" s="1"/>
  <c r="BO9" i="4" a="1"/>
  <c r="BO9" i="4" s="1"/>
  <c r="BT9" i="4" s="1"/>
  <c r="BQ9" i="4" a="1"/>
  <c r="BQ9" i="4" s="1"/>
  <c r="BO10" i="4" a="1"/>
  <c r="BO10" i="4" s="1"/>
  <c r="BT10" i="4" s="1"/>
  <c r="BN10" i="4" a="1"/>
  <c r="BN10" i="4" s="1"/>
  <c r="BS10" i="4" s="1"/>
  <c r="BP10" i="4" a="1"/>
  <c r="BP10" i="4" s="1"/>
  <c r="BU10" i="4" s="1"/>
  <c r="BQ10" i="4" a="1"/>
  <c r="BQ10" i="4" s="1"/>
  <c r="AY9" i="4"/>
  <c r="BE9" i="4" s="1"/>
  <c r="AZ13" i="4"/>
  <c r="BF13" i="4" s="1"/>
  <c r="AA8" i="4" a="1"/>
  <c r="AA8" i="4" s="1"/>
  <c r="AY10" i="4"/>
  <c r="BE10" i="4" s="1"/>
  <c r="AZ14" i="4"/>
  <c r="BF14" i="4" s="1"/>
  <c r="AY8" i="4"/>
  <c r="BE8" i="4" s="1"/>
  <c r="AY13" i="4"/>
  <c r="BE13" i="4" s="1"/>
  <c r="AY12" i="4"/>
  <c r="BE12" i="4" s="1"/>
  <c r="AY11" i="4"/>
  <c r="BE11" i="4" s="1"/>
  <c r="AX14" i="4"/>
  <c r="BD14" i="4" s="1"/>
  <c r="AX10" i="4"/>
  <c r="BD10" i="4" s="1"/>
  <c r="AY14" i="4"/>
  <c r="BE14" i="4" s="1"/>
  <c r="AZ12" i="4"/>
  <c r="BF12" i="4" s="1"/>
  <c r="AZ8" i="4"/>
  <c r="BF8" i="4" s="1"/>
  <c r="AZ10" i="4"/>
  <c r="BF10" i="4" s="1"/>
  <c r="AZ11" i="4"/>
  <c r="BF11" i="4" s="1"/>
  <c r="AZ9" i="4"/>
  <c r="BF9" i="4" s="1"/>
  <c r="AX12" i="4"/>
  <c r="BD12" i="4" s="1"/>
  <c r="AX9" i="4"/>
  <c r="BD9" i="4" s="1"/>
  <c r="AX11" i="4"/>
  <c r="BD11" i="4" s="1"/>
  <c r="AX8" i="4"/>
  <c r="BD8" i="4" s="1"/>
  <c r="BT34" i="4" l="1"/>
  <c r="BS68" i="4" a="1"/>
  <c r="BS68" i="4" s="1"/>
  <c r="BT68" i="4" a="1"/>
  <c r="BT68" i="4" s="1"/>
  <c r="BR68" i="4" a="1"/>
  <c r="BR68" i="4" s="1"/>
  <c r="BO68" i="4" a="1"/>
  <c r="BO68" i="4" s="1"/>
  <c r="BP68" i="4" a="1"/>
  <c r="BP68" i="4" s="1"/>
  <c r="BM68" i="4" a="1"/>
  <c r="BM68" i="4" s="1"/>
  <c r="BQ68" i="4" a="1"/>
  <c r="BQ68" i="4" s="1"/>
  <c r="BN68" i="4" a="1"/>
  <c r="BN68" i="4" s="1"/>
  <c r="BU68" i="4" a="1"/>
  <c r="BU68" i="4" s="1"/>
  <c r="AE8" i="4" l="1"/>
  <c r="AF8" i="4" s="1"/>
  <c r="AB8" i="4"/>
  <c r="AC8" i="4"/>
  <c r="AD8" i="4"/>
  <c r="AD10" i="4" l="1"/>
  <c r="AB10" i="4"/>
  <c r="AE10" i="4"/>
  <c r="AC10" i="4"/>
  <c r="AE11" i="4"/>
  <c r="AB11" i="4"/>
  <c r="AD11" i="4"/>
  <c r="AC11" i="4"/>
  <c r="AB12" i="4"/>
  <c r="AC12" i="4"/>
  <c r="AE12" i="4"/>
  <c r="AD12" i="4"/>
  <c r="AE13" i="4"/>
  <c r="AD13" i="4"/>
  <c r="AB13" i="4"/>
  <c r="AC13" i="4"/>
  <c r="AD14" i="4"/>
  <c r="AC14" i="4"/>
  <c r="AE14" i="4"/>
  <c r="AB14" i="4"/>
  <c r="AC15" i="4"/>
  <c r="AB15" i="4"/>
  <c r="AE15" i="4"/>
  <c r="AD15" i="4"/>
  <c r="AE16" i="4"/>
  <c r="AB16" i="4"/>
  <c r="AD16" i="4"/>
  <c r="AC16" i="4"/>
  <c r="AD19" i="4"/>
  <c r="AE19" i="4"/>
  <c r="AB19" i="4"/>
  <c r="AC19" i="4"/>
  <c r="AD18" i="4"/>
  <c r="AC18" i="4"/>
  <c r="AB18" i="4"/>
  <c r="AE18" i="4"/>
  <c r="AB17" i="4"/>
  <c r="AD17" i="4"/>
  <c r="AE17" i="4"/>
  <c r="AC17" i="4"/>
  <c r="AC9" i="4"/>
  <c r="AE9" i="4"/>
  <c r="AF9" i="4" s="1"/>
  <c r="AD9" i="4"/>
  <c r="AB9" i="4"/>
  <c r="AF18" i="4" l="1"/>
  <c r="AF15" i="4"/>
  <c r="AF12" i="4"/>
  <c r="AF14" i="4"/>
  <c r="AF19" i="4"/>
  <c r="AF17" i="4"/>
  <c r="AF10" i="4"/>
  <c r="AF11" i="4"/>
  <c r="AF16" i="4"/>
  <c r="AF13" i="4"/>
  <c r="AH20" i="4" l="1"/>
  <c r="AL20" i="4" s="1"/>
  <c r="AH28" i="4"/>
  <c r="AL28" i="4" s="1"/>
  <c r="AH8" i="4"/>
  <c r="AM8" i="4" s="1"/>
  <c r="AH64" i="4"/>
  <c r="AK64" i="4" s="1"/>
  <c r="AH17" i="4"/>
  <c r="AM17" i="4" s="1"/>
  <c r="AH69" i="4"/>
  <c r="AK69" i="4" s="1"/>
  <c r="AH60" i="4"/>
  <c r="AK60" i="4" s="1"/>
  <c r="AH40" i="4"/>
  <c r="AJ40" i="4" s="1"/>
  <c r="AH13" i="4"/>
  <c r="AK13" i="4" s="1"/>
  <c r="AH61" i="4"/>
  <c r="AK61" i="4" s="1"/>
  <c r="AH77" i="4"/>
  <c r="AM77" i="4" s="1"/>
  <c r="AH46" i="4"/>
  <c r="AJ46" i="4" s="1"/>
  <c r="AH71" i="4"/>
  <c r="AI71" i="4" s="1"/>
  <c r="AH49" i="4"/>
  <c r="AM49" i="4" s="1"/>
  <c r="AH72" i="4"/>
  <c r="AM72" i="4" s="1"/>
  <c r="AH24" i="4"/>
  <c r="AM24" i="4" s="1"/>
  <c r="AH11" i="4"/>
  <c r="AL11" i="4" s="1"/>
  <c r="AH35" i="4"/>
  <c r="AI35" i="4" s="1"/>
  <c r="AH15" i="4"/>
  <c r="AI15" i="4" s="1"/>
  <c r="AH54" i="4"/>
  <c r="AM54" i="4" s="1"/>
  <c r="AH70" i="4"/>
  <c r="AJ70" i="4" s="1"/>
  <c r="AH29" i="4"/>
  <c r="AJ29" i="4" s="1"/>
  <c r="AH26" i="4"/>
  <c r="AM26" i="4" s="1"/>
  <c r="AH19" i="4"/>
  <c r="AJ19" i="4" s="1"/>
  <c r="AH38" i="4"/>
  <c r="AI38" i="4" s="1"/>
  <c r="AH16" i="4"/>
  <c r="AK16" i="4" s="1"/>
  <c r="AH45" i="4"/>
  <c r="AI45" i="4" s="1"/>
  <c r="AH63" i="4"/>
  <c r="AJ63" i="4" s="1"/>
  <c r="AH55" i="4"/>
  <c r="AJ55" i="4" s="1"/>
  <c r="AH32" i="4"/>
  <c r="AL32" i="4" s="1"/>
  <c r="AH41" i="4"/>
  <c r="AJ41" i="4" s="1"/>
  <c r="AH56" i="4"/>
  <c r="AL56" i="4" s="1"/>
  <c r="AH25" i="4"/>
  <c r="AK25" i="4" s="1"/>
  <c r="AH18" i="4"/>
  <c r="AL18" i="4" s="1"/>
  <c r="AH44" i="4"/>
  <c r="AL44" i="4" s="1"/>
  <c r="AH12" i="4"/>
  <c r="AI12" i="4" s="1"/>
  <c r="AQ12" i="4" s="1" a="1"/>
  <c r="AQ12" i="4" s="1"/>
  <c r="AH52" i="4"/>
  <c r="AM52" i="4" s="1"/>
  <c r="AH62" i="4"/>
  <c r="AK62" i="4" s="1"/>
  <c r="AH42" i="4"/>
  <c r="AL42" i="4" s="1"/>
  <c r="AH65" i="4"/>
  <c r="AM65" i="4" s="1"/>
  <c r="AH53" i="4"/>
  <c r="AL53" i="4" s="1"/>
  <c r="AH74" i="4"/>
  <c r="AI74" i="4" s="1"/>
  <c r="AH66" i="4"/>
  <c r="AM66" i="4" s="1"/>
  <c r="AH68" i="4"/>
  <c r="AL68" i="4" s="1"/>
  <c r="AH76" i="4"/>
  <c r="AI76" i="4" s="1"/>
  <c r="AH39" i="4"/>
  <c r="AL39" i="4" s="1"/>
  <c r="AH31" i="4"/>
  <c r="AM31" i="4" s="1"/>
  <c r="AH67" i="4"/>
  <c r="AI67" i="4" s="1"/>
  <c r="AH10" i="4"/>
  <c r="AJ10" i="4" s="1"/>
  <c r="AH47" i="4"/>
  <c r="AK47" i="4" s="1"/>
  <c r="AH73" i="4"/>
  <c r="AK73" i="4" s="1"/>
  <c r="AH36" i="4"/>
  <c r="AH22" i="4"/>
  <c r="AH33" i="4"/>
  <c r="AH48" i="4"/>
  <c r="AH27" i="4"/>
  <c r="AH30" i="4"/>
  <c r="AH23" i="4"/>
  <c r="AH14" i="4"/>
  <c r="AH59" i="4"/>
  <c r="AH43" i="4"/>
  <c r="AH57" i="4"/>
  <c r="AH58" i="4"/>
  <c r="AH75" i="4"/>
  <c r="AH50" i="4"/>
  <c r="AH37" i="4"/>
  <c r="AH51" i="4"/>
  <c r="AH34" i="4"/>
  <c r="AH9" i="4"/>
  <c r="AH21" i="4"/>
  <c r="AI65" i="4" l="1"/>
  <c r="AM63" i="4"/>
  <c r="AJ65" i="4"/>
  <c r="AM32" i="4"/>
  <c r="AS13" i="4" a="1"/>
  <c r="AS13" i="4" s="1"/>
  <c r="AI16" i="4"/>
  <c r="AM28" i="4"/>
  <c r="AL16" i="4"/>
  <c r="AM53" i="4"/>
  <c r="AI28" i="4"/>
  <c r="AK53" i="4"/>
  <c r="AL24" i="4"/>
  <c r="AI11" i="4"/>
  <c r="AI24" i="4"/>
  <c r="AM64" i="4"/>
  <c r="AM55" i="4"/>
  <c r="AK63" i="4"/>
  <c r="AL64" i="4"/>
  <c r="AK24" i="4"/>
  <c r="AJ64" i="4"/>
  <c r="AJ17" i="4"/>
  <c r="AI64" i="4"/>
  <c r="AK17" i="4"/>
  <c r="AI17" i="4"/>
  <c r="AQ17" i="4" s="1" a="1"/>
  <c r="AQ17" i="4" s="1"/>
  <c r="AL65" i="4"/>
  <c r="AK11" i="4"/>
  <c r="AJ24" i="4"/>
  <c r="AK28" i="4"/>
  <c r="AJ73" i="4"/>
  <c r="AM45" i="4"/>
  <c r="AJ62" i="4"/>
  <c r="AL73" i="4"/>
  <c r="AJ49" i="4"/>
  <c r="AI47" i="4"/>
  <c r="AL62" i="4"/>
  <c r="AK72" i="4"/>
  <c r="AI49" i="4"/>
  <c r="AL47" i="4"/>
  <c r="AM62" i="4"/>
  <c r="AJ72" i="4"/>
  <c r="AK49" i="4"/>
  <c r="AJ47" i="4"/>
  <c r="AI20" i="4"/>
  <c r="AK45" i="4"/>
  <c r="AM16" i="4"/>
  <c r="AJ45" i="4"/>
  <c r="AI62" i="4"/>
  <c r="AM47" i="4"/>
  <c r="AK20" i="4"/>
  <c r="AL8" i="4"/>
  <c r="AT8" i="4" s="1" a="1"/>
  <c r="AT8" i="4" s="1"/>
  <c r="AL60" i="4"/>
  <c r="AJ20" i="4"/>
  <c r="AJ16" i="4"/>
  <c r="AR16" i="4" s="1" a="1"/>
  <c r="AR16" i="4" s="1"/>
  <c r="AJ8" i="4"/>
  <c r="AK15" i="4"/>
  <c r="AM20" i="4"/>
  <c r="AU17" i="4" s="1" a="1"/>
  <c r="AU17" i="4" s="1"/>
  <c r="AL17" i="4"/>
  <c r="AT17" i="4" s="1" a="1"/>
  <c r="AT17" i="4" s="1"/>
  <c r="AJ28" i="4"/>
  <c r="AL55" i="4"/>
  <c r="AL45" i="4"/>
  <c r="AI72" i="4"/>
  <c r="AJ35" i="4"/>
  <c r="AL72" i="4"/>
  <c r="AL49" i="4"/>
  <c r="AI53" i="4"/>
  <c r="AM11" i="4"/>
  <c r="AI42" i="4"/>
  <c r="AJ53" i="4"/>
  <c r="AJ11" i="4"/>
  <c r="AI73" i="4"/>
  <c r="AI8" i="4"/>
  <c r="AQ8" i="4" s="1" a="1"/>
  <c r="AQ8" i="4" s="1"/>
  <c r="AM73" i="4"/>
  <c r="AJ32" i="4"/>
  <c r="AM35" i="4"/>
  <c r="AK8" i="4"/>
  <c r="AS8" i="4" s="1" a="1"/>
  <c r="AS8" i="4" s="1"/>
  <c r="AI32" i="4"/>
  <c r="AJ42" i="4"/>
  <c r="AL35" i="4"/>
  <c r="AK32" i="4"/>
  <c r="AK42" i="4"/>
  <c r="AM69" i="4"/>
  <c r="AJ68" i="4"/>
  <c r="AJ26" i="4"/>
  <c r="AI26" i="4"/>
  <c r="AK68" i="4"/>
  <c r="AL40" i="4"/>
  <c r="AL54" i="4"/>
  <c r="AM13" i="4"/>
  <c r="AM40" i="4"/>
  <c r="AK40" i="4"/>
  <c r="AL12" i="4"/>
  <c r="AK54" i="4"/>
  <c r="AJ60" i="4"/>
  <c r="AK77" i="4"/>
  <c r="AM60" i="4"/>
  <c r="AM19" i="4"/>
  <c r="AL19" i="4"/>
  <c r="AI61" i="4"/>
  <c r="AK12" i="4"/>
  <c r="AJ54" i="4"/>
  <c r="AJ15" i="4"/>
  <c r="AI18" i="4"/>
  <c r="AQ15" i="4" s="1" a="1"/>
  <c r="AQ15" i="4" s="1"/>
  <c r="AM71" i="4"/>
  <c r="AI54" i="4"/>
  <c r="AL15" i="4"/>
  <c r="AT15" i="4" s="1" a="1"/>
  <c r="AT15" i="4" s="1"/>
  <c r="AJ77" i="4"/>
  <c r="AK70" i="4"/>
  <c r="AM15" i="4"/>
  <c r="AJ69" i="4"/>
  <c r="AM67" i="4"/>
  <c r="AL67" i="4"/>
  <c r="AK67" i="4"/>
  <c r="AJ38" i="4"/>
  <c r="AL61" i="4"/>
  <c r="AL13" i="4"/>
  <c r="AJ67" i="4"/>
  <c r="AK52" i="4"/>
  <c r="AI10" i="4"/>
  <c r="AL46" i="4"/>
  <c r="AM38" i="4"/>
  <c r="AK46" i="4"/>
  <c r="AL38" i="4"/>
  <c r="AJ61" i="4"/>
  <c r="AJ13" i="4"/>
  <c r="AR13" i="4" s="1" a="1"/>
  <c r="AR13" i="4" s="1"/>
  <c r="AL76" i="4"/>
  <c r="AK29" i="4"/>
  <c r="AJ52" i="4"/>
  <c r="AM10" i="4"/>
  <c r="AI46" i="4"/>
  <c r="AM70" i="4"/>
  <c r="AK38" i="4"/>
  <c r="AK71" i="4"/>
  <c r="AI13" i="4"/>
  <c r="AQ13" i="4" s="1" a="1"/>
  <c r="AQ13" i="4" s="1"/>
  <c r="AL63" i="4"/>
  <c r="AK35" i="4"/>
  <c r="AM76" i="4"/>
  <c r="AI29" i="4"/>
  <c r="AI52" i="4"/>
  <c r="AL69" i="4"/>
  <c r="AJ12" i="4"/>
  <c r="AR12" i="4" s="1" a="1"/>
  <c r="AR12" i="4" s="1"/>
  <c r="AL41" i="4"/>
  <c r="AM61" i="4"/>
  <c r="AK41" i="4"/>
  <c r="AM46" i="4"/>
  <c r="AL29" i="4"/>
  <c r="AL52" i="4"/>
  <c r="AJ76" i="4"/>
  <c r="AM29" i="4"/>
  <c r="AL10" i="4"/>
  <c r="AI19" i="4"/>
  <c r="AK26" i="4"/>
  <c r="AM12" i="4"/>
  <c r="AI60" i="4"/>
  <c r="AI40" i="4"/>
  <c r="AI69" i="4"/>
  <c r="AK10" i="4"/>
  <c r="AS10" i="4" s="1" a="1"/>
  <c r="AS10" i="4" s="1"/>
  <c r="AK19" i="4"/>
  <c r="AS16" i="4" s="1" a="1"/>
  <c r="AS16" i="4" s="1"/>
  <c r="AL70" i="4"/>
  <c r="AL71" i="4"/>
  <c r="AL77" i="4"/>
  <c r="AL26" i="4"/>
  <c r="AI70" i="4"/>
  <c r="AJ71" i="4"/>
  <c r="AI77" i="4"/>
  <c r="AJ18" i="4"/>
  <c r="AK18" i="4"/>
  <c r="AI68" i="4"/>
  <c r="AK56" i="4"/>
  <c r="AM18" i="4"/>
  <c r="AM68" i="4"/>
  <c r="AJ56" i="4"/>
  <c r="AI39" i="4"/>
  <c r="AK31" i="4"/>
  <c r="AJ39" i="4"/>
  <c r="AM56" i="4"/>
  <c r="AL25" i="4"/>
  <c r="AL31" i="4"/>
  <c r="AJ66" i="4"/>
  <c r="AK74" i="4"/>
  <c r="AI44" i="4"/>
  <c r="AI56" i="4"/>
  <c r="AM39" i="4"/>
  <c r="AM25" i="4"/>
  <c r="AI31" i="4"/>
  <c r="AJ44" i="4"/>
  <c r="AK44" i="4"/>
  <c r="AI25" i="4"/>
  <c r="AM41" i="4"/>
  <c r="AK65" i="4"/>
  <c r="AI66" i="4"/>
  <c r="AM42" i="4"/>
  <c r="AI63" i="4"/>
  <c r="AL74" i="4"/>
  <c r="AM44" i="4"/>
  <c r="AK76" i="4"/>
  <c r="AK55" i="4"/>
  <c r="AJ25" i="4"/>
  <c r="AJ31" i="4"/>
  <c r="AL66" i="4"/>
  <c r="AM74" i="4"/>
  <c r="AK39" i="4"/>
  <c r="AI41" i="4"/>
  <c r="AK66" i="4"/>
  <c r="AJ74" i="4"/>
  <c r="AI55" i="4"/>
  <c r="AK21" i="4"/>
  <c r="AM21" i="4"/>
  <c r="AI21" i="4"/>
  <c r="AJ21" i="4"/>
  <c r="AL21" i="4"/>
  <c r="AL9" i="4"/>
  <c r="AT9" i="4" s="1" a="1"/>
  <c r="AT9" i="4" s="1"/>
  <c r="AM9" i="4"/>
  <c r="AU9" i="4" s="1" a="1"/>
  <c r="AU9" i="4" s="1"/>
  <c r="AI9" i="4"/>
  <c r="AQ9" i="4" s="1" a="1"/>
  <c r="AQ9" i="4" s="1"/>
  <c r="AJ9" i="4"/>
  <c r="AK9" i="4"/>
  <c r="AS9" i="4" s="1" a="1"/>
  <c r="AS9" i="4" s="1"/>
  <c r="AU8" i="4" a="1"/>
  <c r="AU8" i="4" s="1"/>
  <c r="AO9" i="4"/>
  <c r="AM34" i="4"/>
  <c r="AJ34" i="4"/>
  <c r="AK34" i="4"/>
  <c r="AL34" i="4"/>
  <c r="AI34" i="4"/>
  <c r="AJ59" i="4"/>
  <c r="AL59" i="4"/>
  <c r="AK59" i="4"/>
  <c r="AI59" i="4"/>
  <c r="AM59" i="4"/>
  <c r="AM51" i="4"/>
  <c r="AI51" i="4"/>
  <c r="AK51" i="4"/>
  <c r="AJ51" i="4"/>
  <c r="AL51" i="4"/>
  <c r="AJ14" i="4"/>
  <c r="AM14" i="4"/>
  <c r="AU14" i="4" s="1" a="1"/>
  <c r="AU14" i="4" s="1"/>
  <c r="AI14" i="4"/>
  <c r="AK14" i="4"/>
  <c r="AS14" i="4" s="1" a="1"/>
  <c r="AS14" i="4" s="1"/>
  <c r="AL14" i="4"/>
  <c r="AT14" i="4" s="1" a="1"/>
  <c r="AT14" i="4" s="1"/>
  <c r="AL37" i="4"/>
  <c r="AI37" i="4"/>
  <c r="AJ37" i="4"/>
  <c r="AK37" i="4"/>
  <c r="AM37" i="4"/>
  <c r="AJ23" i="4"/>
  <c r="AK23" i="4"/>
  <c r="AI23" i="4"/>
  <c r="AL23" i="4"/>
  <c r="AM23" i="4"/>
  <c r="AJ75" i="4"/>
  <c r="AI75" i="4"/>
  <c r="AK75" i="4"/>
  <c r="AL75" i="4"/>
  <c r="AM75" i="4"/>
  <c r="AM58" i="4"/>
  <c r="AI58" i="4"/>
  <c r="AJ58" i="4"/>
  <c r="AK58" i="4"/>
  <c r="AL58" i="4"/>
  <c r="AK57" i="4"/>
  <c r="AJ57" i="4"/>
  <c r="AL57" i="4"/>
  <c r="AM57" i="4"/>
  <c r="AI57" i="4"/>
  <c r="AI33" i="4"/>
  <c r="AK33" i="4"/>
  <c r="AL33" i="4"/>
  <c r="AM33" i="4"/>
  <c r="AJ33" i="4"/>
  <c r="AM43" i="4"/>
  <c r="AK43" i="4"/>
  <c r="AL43" i="4"/>
  <c r="AI43" i="4"/>
  <c r="AJ43" i="4"/>
  <c r="AK22" i="4"/>
  <c r="AL22" i="4"/>
  <c r="AM22" i="4"/>
  <c r="AI22" i="4"/>
  <c r="AJ22" i="4"/>
  <c r="AI50" i="4"/>
  <c r="AJ50" i="4"/>
  <c r="AK50" i="4"/>
  <c r="AM50" i="4"/>
  <c r="AL50" i="4"/>
  <c r="AL30" i="4"/>
  <c r="AM30" i="4"/>
  <c r="AJ30" i="4"/>
  <c r="AI30" i="4"/>
  <c r="AK30" i="4"/>
  <c r="AI27" i="4"/>
  <c r="AJ27" i="4"/>
  <c r="AL27" i="4"/>
  <c r="AM27" i="4"/>
  <c r="AK27" i="4"/>
  <c r="AK48" i="4"/>
  <c r="AL48" i="4"/>
  <c r="AM48" i="4"/>
  <c r="AI48" i="4"/>
  <c r="AJ48" i="4"/>
  <c r="AI36" i="4"/>
  <c r="AM36" i="4"/>
  <c r="AJ36" i="4"/>
  <c r="AL36" i="4"/>
  <c r="AK36" i="4"/>
  <c r="AU15" i="4" l="1" a="1"/>
  <c r="AU15" i="4" s="1"/>
  <c r="AS17" i="4" a="1"/>
  <c r="AS17" i="4" s="1"/>
  <c r="AQ10" i="4" a="1"/>
  <c r="AQ10" i="4" s="1"/>
  <c r="AR11" i="4" a="1"/>
  <c r="AR11" i="4" s="1"/>
  <c r="AR17" i="4" a="1"/>
  <c r="AR17" i="4" s="1"/>
  <c r="AU10" i="4" a="1"/>
  <c r="AU10" i="4" s="1"/>
  <c r="AT16" i="4" a="1"/>
  <c r="AT16" i="4" s="1"/>
  <c r="AR9" i="4" a="1"/>
  <c r="AR9" i="4" s="1"/>
  <c r="AQ14" i="4" a="1"/>
  <c r="AQ14" i="4" s="1"/>
  <c r="AT13" i="4" a="1"/>
  <c r="AT13" i="4" s="1"/>
  <c r="AT12" i="4" a="1"/>
  <c r="AT12" i="4" s="1"/>
  <c r="AS15" i="4" a="1"/>
  <c r="AS15" i="4" s="1"/>
  <c r="AU11" i="4" a="1"/>
  <c r="AU11" i="4" s="1"/>
  <c r="AR8" i="4" a="1"/>
  <c r="AR8" i="4" s="1"/>
  <c r="AQ16" i="4" a="1"/>
  <c r="AQ16" i="4" s="1"/>
  <c r="AU16" i="4" a="1"/>
  <c r="AU16" i="4" s="1"/>
  <c r="AU12" i="4" a="1"/>
  <c r="AU12" i="4" s="1"/>
  <c r="AR14" i="4" a="1"/>
  <c r="AR14" i="4" s="1"/>
  <c r="AT10" i="4" a="1"/>
  <c r="AT10" i="4" s="1"/>
  <c r="AR15" i="4" a="1"/>
  <c r="AR15" i="4" s="1"/>
  <c r="AR10" i="4" a="1"/>
  <c r="AR10" i="4" s="1"/>
  <c r="AU13" i="4" a="1"/>
  <c r="AU13" i="4" s="1"/>
  <c r="AS12" i="4" a="1"/>
  <c r="AS12" i="4" s="1"/>
  <c r="AS11" i="4" a="1"/>
  <c r="AS11" i="4" s="1"/>
  <c r="AT11" i="4" a="1"/>
  <c r="AT11" i="4" s="1"/>
  <c r="AQ11" i="4" a="1"/>
  <c r="AQ11"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<sst xmlns="http://schemas.openxmlformats.org/spreadsheetml/2006/main" count="1308" uniqueCount="479">
  <si>
    <t>Date</t>
  </si>
  <si>
    <t>Name</t>
  </si>
  <si>
    <t>review_time</t>
  </si>
  <si>
    <t>rating</t>
  </si>
  <si>
    <t>aspect_sentiment</t>
  </si>
  <si>
    <t>topic</t>
  </si>
  <si>
    <t>Miscellaneous</t>
  </si>
  <si>
    <t>Pricing and Value</t>
  </si>
  <si>
    <t>Selected Information</t>
  </si>
  <si>
    <t>Selected Topic</t>
  </si>
  <si>
    <t>For References</t>
  </si>
  <si>
    <t>Topic</t>
  </si>
  <si>
    <t>Reviewer Id</t>
  </si>
  <si>
    <t>Rating</t>
  </si>
  <si>
    <t>Review</t>
  </si>
  <si>
    <t>Aspect Sentiment</t>
  </si>
  <si>
    <t>From</t>
  </si>
  <si>
    <t>To</t>
  </si>
  <si>
    <t>Table Main Handling</t>
  </si>
  <si>
    <t>Table Aspect Handling</t>
  </si>
  <si>
    <t>aspect</t>
  </si>
  <si>
    <t>negative</t>
  </si>
  <si>
    <t>neutral</t>
  </si>
  <si>
    <t>positive</t>
  </si>
  <si>
    <t>total</t>
  </si>
  <si>
    <t>service</t>
  </si>
  <si>
    <t>work</t>
  </si>
  <si>
    <t>price</t>
  </si>
  <si>
    <t>price range</t>
  </si>
  <si>
    <t>google</t>
  </si>
  <si>
    <t>customer service</t>
  </si>
  <si>
    <t xml:space="preserve">Base </t>
  </si>
  <si>
    <t>Max</t>
  </si>
  <si>
    <t>Min</t>
  </si>
  <si>
    <t>Pagination Aspect Table</t>
  </si>
  <si>
    <t>Table Topic Distribution</t>
  </si>
  <si>
    <t>Title:</t>
  </si>
  <si>
    <t>Distribution Topic During Selected Period</t>
  </si>
  <si>
    <t>dummy</t>
  </si>
  <si>
    <t>% positive</t>
  </si>
  <si>
    <t>% neutral</t>
  </si>
  <si>
    <t>% negative</t>
  </si>
  <si>
    <t>year</t>
  </si>
  <si>
    <t>month</t>
  </si>
  <si>
    <t>rating_sum</t>
  </si>
  <si>
    <t>rating_count</t>
  </si>
  <si>
    <t>unique</t>
  </si>
  <si>
    <t>Unique</t>
  </si>
  <si>
    <t>Trend Calculation</t>
  </si>
  <si>
    <t>Grand Total</t>
  </si>
  <si>
    <t>Monthly</t>
  </si>
  <si>
    <t>Month</t>
  </si>
  <si>
    <t>Yearly</t>
  </si>
  <si>
    <t>Year</t>
  </si>
  <si>
    <t>Plotting</t>
  </si>
  <si>
    <t>Pagination Trend</t>
  </si>
  <si>
    <t>Trend</t>
  </si>
  <si>
    <t>label</t>
  </si>
  <si>
    <t>Frequency</t>
  </si>
  <si>
    <t>Select Metrics</t>
  </si>
  <si>
    <t>Metrics</t>
  </si>
  <si>
    <t>Count Empty rating</t>
  </si>
  <si>
    <t>Len table</t>
  </si>
  <si>
    <t>is_ratingNotFail?</t>
  </si>
  <si>
    <t>Title</t>
  </si>
  <si>
    <t>label positive</t>
  </si>
  <si>
    <t>label neutral</t>
  </si>
  <si>
    <t>label negative</t>
  </si>
  <si>
    <t>helper variables:</t>
  </si>
  <si>
    <t>Min Date</t>
  </si>
  <si>
    <t>Max Date</t>
  </si>
  <si>
    <t>Day</t>
  </si>
  <si>
    <t>To (Base Date)</t>
  </si>
  <si>
    <t>Base Month</t>
  </si>
  <si>
    <t>Score Cards</t>
  </si>
  <si>
    <t>Sentiment Poisitive Rate Overall</t>
  </si>
  <si>
    <t>Sentiment Negative Rate Overall</t>
  </si>
  <si>
    <t>Fine</t>
  </si>
  <si>
    <t>Strength</t>
  </si>
  <si>
    <t>Weakness</t>
  </si>
  <si>
    <t>Row Labels</t>
  </si>
  <si>
    <t>review_id</t>
  </si>
  <si>
    <t>Review Id</t>
  </si>
  <si>
    <t>Select Params</t>
  </si>
  <si>
    <t>Year Exists Data</t>
  </si>
  <si>
    <t>review</t>
  </si>
  <si>
    <t>2014-07-27</t>
  </si>
  <si>
    <t>Great simple phone.Switching from iPhone 5 to this phone. Simple, long battery, good looking. iPhone took too much of my time and health, really.</t>
  </si>
  <si>
    <t>● iphone: positive</t>
  </si>
  <si>
    <t>Brand and Model Specifics</t>
  </si>
  <si>
    <t>2016-08-21</t>
  </si>
  <si>
    <t>Mediocre at best. Design is not very attractive not innovative.Mediocre at best. Design is not very attractive not innovative. The one and only reason to buy this phone is for the camera which is exceptional. Yes, it'd fast but there are plenty of other high end phones that blown this out of the water including the OnePlus Three that can basically be had for 3/4 the price. I reverted back to my Nexus 6P. That said, I've heard better things about the S7 edge and Note 7 but the note costs about 800 on contract and that is just absurd. Buy the 5x while the eBay sale is going on. You can get it for 200 new. If you want a bigger phone both the 6P and IPhone 6S are better. For a decent smaller sized the Oneplus Three is insanely fast with no bloat ware.</t>
  </si>
  <si>
    <t>● costs: neutral
● note 7: positive
● edge: positive
● s: positive
● size: positive
● camera: positive
● bloatware: positive</t>
  </si>
  <si>
    <t>2016-11-23</t>
  </si>
  <si>
    <t>very disappointed.One month after purchasing the pone, it stop working. Samsung people in chile told me that it cannot be fix and that it has a turkish software and has been internaly manipulated. i'm very disappointed.</t>
  </si>
  <si>
    <t>● samsung: negative</t>
  </si>
  <si>
    <t>2017-07-20</t>
  </si>
  <si>
    <t>Works like a charm.Works like a charm. Great condition. Like new. Took it to the Samsung Store at Best Buy to have it updated.</t>
  </si>
  <si>
    <t>● samsung: positive</t>
  </si>
  <si>
    <t>2018-02-27</t>
  </si>
  <si>
    <t>Not a good choice for at&amp;t.....I got this phone to because iPhone 7 plus unlocked had gotten slow after ios 11. This phone is nice but i use At&amp;t and i just found out that when At&amp;t checks your phone on the network they disable wifi calling and edge calling. I found out when my phone started dropping calls at the office about a month and a half after buying it. I didn't see anything about this issue when i bought the phone and now it's too late to return the phone. One more reason to leave At&amp;t!!! Bad job Amazon!!!</t>
  </si>
  <si>
    <t>2018-12-29</t>
  </si>
  <si>
    <t>Moto G6 2018 phone. Very nice good quality and nice camera.This is a very nice phone. Purchase two as a gift. nicely made, modern look good camera. For the price it’s an awsum phone. Call quality from the receiver side is clear and nice. From caller side I’ve been told no issues. I cannot comment on the battery life as of yet, I’ve received no feed back. Over all phone was not loaded with all the bloatware. Clean phone with just the google apps. Not an iPhone by any means but a great android phone.</t>
  </si>
  <si>
    <t>● google: positive
● iphone: negative</t>
  </si>
  <si>
    <t>2019-01-28</t>
  </si>
  <si>
    <t>Honest disclosure was expected. Didn't happen..Tech Ventures lied to me. After being very cooperate exchanging iPhone for a Note 5, then assuring me a GOOD Note 5, I learned that the rep on the phone has NO IMPUT as to which Note 5 would sent to me. Her call goes to a warehouse where the cell is simply removed from the storage location. I received the first model of the Note 5. Trust me, NOT TECH VENTURES...this Note 5 is a mess except for e-audio books; no email/gmail &amp; it changes words at will. They really dropped the ball.</t>
  </si>
  <si>
    <t>● iphone: neutral</t>
  </si>
  <si>
    <t>2019-02-06</t>
  </si>
  <si>
    <t>Love this phone!.I like the phone, it does Band71, the extra battery is wonderful. I usually am on 100% charge all day, with only the external battery cycling -- which means I can replace that when it eventually wears out and still have full battery life on the internal battery. I really like the moto mods also - just wish there was more of them.</t>
  </si>
  <si>
    <t>● external battery: negative
● charge: positive
● extra battery: positive
● moto: positive</t>
  </si>
  <si>
    <t>2019-05-17</t>
  </si>
  <si>
    <t>iPhone.So far, so good.</t>
  </si>
  <si>
    <t>2019-06-05</t>
  </si>
  <si>
    <t>Samsung M10.Exelente</t>
  </si>
  <si>
    <t>● samsung: neutral</t>
  </si>
  <si>
    <t>2019-10-08</t>
  </si>
  <si>
    <t>Great camera.I bought this phone beacuse of camera. And it does not make me disappointed. It works amazing! I am also a kpop fan so cant wait to use it during the concert!</t>
  </si>
  <si>
    <t>● camera: positive
● kpop: positive</t>
  </si>
  <si>
    <t>2019-10-24</t>
  </si>
  <si>
    <t>You get what you pay for, but you do get a lot for the price w this phone..I don't think you could beat this for the price. I will say there is definitely a noticeable difference with processing compared to like an iPhone. when this does come into play is if you're using Google maps and you're trying to zoom in real fast or out. and sometimes the typing does not catch the proper letters and I think it has to do with this phone. Also sometimes when I use speak to text it's not responsive and I have to say the same thing twice which can definitely be annoying. but overall you cant complain too much with a phone like this for the price. It's funny, even while writing this review twice the speak to text did not respond. But again it takes pretty decent photos and it's impressive the low light photos that it takes. The phone seems to work okay and I've never really had a problem connecting to Wi-Fi etc. I'm definitely going back to the iPhone though I'll tell you that. I purchased this because I was in another country and I didn't have a choice. But it has done the job so if you're really really tight on money I would say this is a good option for you for sure or the newer Moto G7</t>
  </si>
  <si>
    <t>● iphone: positive
● processing: negative
● price: positive</t>
  </si>
  <si>
    <t>2019-10-27</t>
  </si>
  <si>
    <t>Loving it.The phone arrived in great condition no scratches. I have been wanting to get this phone for a while and I think preowned version is worth it if it is certified from amazon Onky things I don't like are USB C cable and the charger. Both are poorly made and cable broke on the first day. I would appreciate it if I recieved a high quality cable and charger. Other than that I am having great time owning a pre preowned samsung s10e</t>
  </si>
  <si>
    <t>● samsung: negative
● usb c cable: negative
● charger: negative</t>
  </si>
  <si>
    <t>2019-11-05</t>
  </si>
  <si>
    <t>Not the latest version of Samsung phone but the A50 does everthing expected..I was hesitant originally to order an unlocked phone due to problems from other's experiences. This purchase was without any issues and worked perfectly out of the box.</t>
  </si>
  <si>
    <t>2019-11-06</t>
  </si>
  <si>
    <t>Item came defective.The iphone is in good condition externally. But internally there was a serious issue with the battery and Face id would never work. Make sure to check the phone battery and Face id feature working.</t>
  </si>
  <si>
    <t>● battery: negative
● iphone: negative</t>
  </si>
  <si>
    <t>2019-11-08</t>
  </si>
  <si>
    <t>Greatest phone ever. Beats the iPhone..Great so far. Get lots of comments about speed. Does everything expected and more.</t>
  </si>
  <si>
    <t>2014-10-03</t>
  </si>
  <si>
    <t>Awesome phone. best on market..Best phone. Things you should know. 1. Best battery life than any other Android phone I have had. 2. Most features that are exclusive for this phone I thought I would use. I do not. For example I do not use the stylus as much as I did. The recent update killed the ease of use and coverting text from handwriting to text. So I do not use it anymore. 3. Fast response. Have had this phone for about 9 months. Still just as fast responding to touch and opening apps as day one. 4. Can only be used with a max mini SD card of 64gb. This is a minor complaint only. 5. Does not get hot. Unless you are doing a lot of stuff while charging this device does not get hot to the touch. The normal running temp is about 100 degrees Fahrenheit but you can not feel it. 6. Charges fast from dead to full charge. This is based on stock charger that comes with phone which pushes 2.1 amps. I also use a 3.5 amp car charger which it charges faster with. 7. The IR ability I use a lot for controlling my TV and dvr. The app the phone comes with is the best app but the app does need improvement though this is not the phones fault. 8. WiFi is fast. My Internet speed tops at 40mb/s and the phone WiFi can do it. Unlike most phones WiFi usually cap at 20mb/s no matter what. 9. I have the Verizon 4G lte and the lte I have seen push 60mb/s for speeds so again the phone ability for strong and fast signal is impressive. A bunch of other things positive and negative. I am disappointed in Samsung and their lack more rather restrictions of app abilities but this is not the phone fault. Great phone and best I have had.</t>
  </si>
  <si>
    <t>● internet speed: positive
● app: positive
● features: positive
● wifi: positive</t>
  </si>
  <si>
    <t>Connectivity and Network</t>
  </si>
  <si>
    <t>Excellent phone.Good design, high-end product feel. No issues with the sim cards, reception and wifi. Overall a very good phone in this price range.</t>
  </si>
  <si>
    <t>● price range: positive
● reception: positive
● sim cards: positive
● design: positive
● wifi: positive</t>
  </si>
  <si>
    <t>2017-12-03</t>
  </si>
  <si>
    <t>wifi problems.This phone like other sony phones has serious wifi issues. Even non flagship products from htc, samsung, huwaie don't have problems with wifi. It will connect but will not have internet while other devices on my network have no issues.</t>
  </si>
  <si>
    <t>● internet: negative
● wifi: negative</t>
  </si>
  <si>
    <t>2018-02-12</t>
  </si>
  <si>
    <t>Poorly fitted glass + bad reception = return.The phone I received was indeed an AT&amp;T phone. The front and back glass had both been replaced and the finish was flawless. That, unfortunately, is where the good ends and the bad begins. I had to return this phone. I have extremely poor reception, which I suspect is a problem with the device I received rather than a problem inherent to the S6. The other issue is that, although the glass had been replaced, it was not seated properly or flush with the edges. I could get my thumb nail underneath the glass and see the dust/lint that had collected inside. Obviously does not have the water-resistant properties that it would have had from the factory. Thank god for amazon's return policy.</t>
  </si>
  <si>
    <t>● edges: negative
● reception: negative
● finish: positive
● glass: negative
● back: negative
● front: negative</t>
  </si>
  <si>
    <t>2018-02-17</t>
  </si>
  <si>
    <t>If it doesn't work on your network, ask your provider if they'll troubleshoot for you.I nearly returned the phone because it originally didn't want to work on my network (T-mobile) however Buyspry emailed me saying that the phone is unlocked and should work. I figured I'd give T-Mobile a call and see if they could help. They said I could take it in and they would troubleshoot it for me. They managed to fix it and didn't charge me anything. All in all, I'm glad I didn't return it because it is a beautiful phone. It works great and looks brand new. Really glad this worked out</t>
  </si>
  <si>
    <t>● mobile: negative
● provider: negative</t>
  </si>
  <si>
    <t>2019-03-13</t>
  </si>
  <si>
    <t>Sadly, have to return.This phone was great. Until I took the model number and discovered it ABSOLUTELY does not have band 71 (600MHZ) AS DESCRIBED in the listing. I do not think it was intentional, but the dual sim version G7 POWER does NOT have B71 as listed, only the mono-SIM G7 Power, USA version will have it. It is the reason I got the phone, so a terrible disappointment to find this out. ### EDIT ### They have updated the listing to reflect that band 71 (600 Mhz) is not on this variant. I am raising my rating to a 4 star as the specs combined with battery provide outstanding value, especially for dual SIM</t>
  </si>
  <si>
    <t>● sim: negative
● dual: positive
● value: positive
● battery: positive
● specs: positive</t>
  </si>
  <si>
    <t>2019-03-16</t>
  </si>
  <si>
    <t>Not compatible for any sim..Not compatible with the sim we have. Says it is unlocked. Verizon sim not recognized and it does not specify what carrier it is unlocked for...</t>
  </si>
  <si>
    <t>● sim: negative</t>
  </si>
  <si>
    <t>2019-06-22</t>
  </si>
  <si>
    <t>U had no issue with the seller they were great and very helpful!.I was very disappointed in the way this phone worked it was dropping calls constantly and losing service. Not to mention it was slow. It did take very nice photos. Not worth the $120 plus price tag.</t>
  </si>
  <si>
    <t>● seller: positive
● price tag: negative
● service: negative</t>
  </si>
  <si>
    <t>2019-08-11</t>
  </si>
  <si>
    <t>Doesn't work..The phone I received came with with wifi broken. After numerous attempts to connect to multiple wifi connections, the phone refuses to actually connect. The wifi status is stuck in a connecting limbo, then immediately disconnects. I thought that since this was a Amazon Renewed product it would work, but I was wrong. Even after multiple factory resets, it still refuses to work.</t>
  </si>
  <si>
    <t>● amazon: positive
● wifi: negative</t>
  </si>
  <si>
    <t>2019-08-26</t>
  </si>
  <si>
    <t>Drops mobile data.Bought this phone in March 2019 and after a few months it started dropping mobile data. After repeated checks with my service provider it was confirmed that the problem was with the phone and not the service. This was verified through various forums and chats by other persons in different countries with the S10 who had the same problem. Whenever I leave an area with wifi, I have to go to the sim card manager and change from 4g to 3g then back to 4g to get mobile data. As soon as I get a call I lose mobile data and have to go 3g then 4g again to get it back. Same thing if the signal gets weak or I go in and out of a wifi area. Huge risk if attempted while driving. I have reset the phone, reseated the sim card and tried other recommended fixes to no avail. No warranty so buyer beware. Very disappointed.</t>
  </si>
  <si>
    <t>● sim card: neutral
● service: negative
● phone: negative
● service provider: negative
● warranty: negative</t>
  </si>
  <si>
    <t>2017-05-04</t>
  </si>
  <si>
    <t>Five Stars.Like a brand new phone. No issues found. Seems to be pretty friendly customer service.</t>
  </si>
  <si>
    <t>● customer service: positive
● phone: positive</t>
  </si>
  <si>
    <t>Customer Service and Experience</t>
  </si>
  <si>
    <t>2018-01-29</t>
  </si>
  <si>
    <t>Phone only lasted one month. Seller does not respond. Samsung warranty not valid..BUYER BEWARE. I ordered a "brand new" Samsung Galaxy S7 from TimeToCell for my father for Christmas from the seller and within a month the screen started going purple and no longer worked. Because I didn't give it to him until Christmas, it was outside of the 30 day return window. However, having bought it "brand new", I figured the Samsung one year manufacturer warranty would be good, but NOPE! When I contacted Samsung they took my IMEI number and told me the one year warranty had expired in August 2017.... I bought the phone in November 2017.... I have tried contacting the seller two times and both times received no response. Do not buy from this dealer.</t>
  </si>
  <si>
    <t>● seller: negative
● screen: negative</t>
  </si>
  <si>
    <t>2018-07-07</t>
  </si>
  <si>
    <t>Didn't works with boost mobile.Samsung Galaxy s8+ is a very good phone. My review is all about the description, it says unlocked, I tried to use it with boost Mobile and it didn't work, I try online, by phone, and in the store. Going to return it to Amazon</t>
  </si>
  <si>
    <t>● amazon: neutral</t>
  </si>
  <si>
    <t>Design and Aesthetics</t>
  </si>
  <si>
    <t>2019-05-15</t>
  </si>
  <si>
    <t>At $199 (at time of purchase) it is a steal.My Samsung Galaxy S7 was dying. I wanted a Galaxy S10, but didn't want to drop $1000. So I found this phone. It works for what I need it for. Still trying to get used to not having a physical "back button" like my S7. 64 GB RAM for the price is a steal. It did take many updates to update the phone to current (which is normal for any phone as well as computers).</t>
  </si>
  <si>
    <t>● back button: negative</t>
  </si>
  <si>
    <t>2013-12-19</t>
  </si>
  <si>
    <t>Broke after one month.Piece of crap. worked for about a month then it quit 'ringing' ( or making any kind of noise at all) and YES we checked to see if it was on silent or turned down. also will just randomly cut me off and start blinking weird stuff on the screen, going 'in and out' (no its not the server, def the phone). Says the battery is fully charged and then 20 minutes later shows battery as drained. DO NOT WASTE YOUR MONEY ON THIS PHONE!</t>
  </si>
  <si>
    <t>● battery: negative</t>
  </si>
  <si>
    <t>Hardware Features and Design</t>
  </si>
  <si>
    <t>2014-09-21</t>
  </si>
  <si>
    <t>Not happy that it was falsely advertised and window 7.This phone does not have window 8 as advertised. Not happy that it was falsely advertised and window 7.8 does not support what I need it to. I would not buy from this supplier.</t>
  </si>
  <si>
    <t>● quality: negative
● window 8: negative
● window 7 . 8: negative</t>
  </si>
  <si>
    <t>2016-10-06</t>
  </si>
  <si>
    <t>I got a bad phone, they don't have inventory so I have ....The phone doesn't work with T-Mobile SIM card, contacted Sony officials and they told me they do not know which carrier is compatible with Xperia and asked me to contact the seller. According the Amazon representatives, I got a bad phone, they don't have inventory so I have to get a refund. I don't know if I'm the only one experiencing this issue, but it's very annoying. Extra star for good looking</t>
  </si>
  <si>
    <t>● mobile sim card: negative
● t: negative</t>
  </si>
  <si>
    <t>2016-10-20</t>
  </si>
  <si>
    <t>Mobile not working.I am not able switch on my mobile since today morning. The last used yesterday night and when I woke up in morning I found my mobile was totally dead even not charging also. Kindly help me to find the solution.</t>
  </si>
  <si>
    <t>● charging: negative</t>
  </si>
  <si>
    <t>2016-11-07</t>
  </si>
  <si>
    <t>Great product.Excellent product, "like new". Really meant like new, no flaws or signs of use.Activated with no problems after getting sim card at Sprint dealer for no charge. Will buy from red cell again!</t>
  </si>
  <si>
    <t>● sim card: positive</t>
  </si>
  <si>
    <t>2017-01-16</t>
  </si>
  <si>
    <t>Great phone, be careful with the sellers.The phone is wonderful, if you're considering it, go for it, it's awesome. However my seller marked my phone as "like new" but the phone has scuffs on the corners (literally all four corners) and a scuff on the lock button that makes it feel gummy (no positive click like the volume buttons) and it has to be pressed hard, sometimes twice. I can live with it but I wish if I paid for like new I got like new.</t>
  </si>
  <si>
    <t>● lock button: negative
● scuf: positive</t>
  </si>
  <si>
    <t>2017-09-26</t>
  </si>
  <si>
    <t>Sony Returns to Form.With the XZ1, Sony's Xperia line returns to form. After wandering in the cel phone wilderness for the last year or so, the electronics giant pulled their collective heads out of their collective hindquarters and have delivered a very good (if not quite great) flagship mobile device. The past 12-16 months gave us the X, the X Compact, the X Performance, the XZ, the XZS, the XA1, and a gaggle of other mid-tier offerings from Sony. Of them, only the XZS and the XZ Premium could come close to laying claim to flagship status, with the latter coming with one of the finest 4K displays in the business. Unfortunately XZS didn't come with a battery big enough to power the nice phone specs, and the XZ Premium was an exceptionally large phone, at an exceptionally large price. The XZ1 sees the company step up it's game. As of this writing, it's one of the few devices shipping with Android 8 / Oreo out of the box, running the latest Snapdragon 835 processor, with a beautiful 1080 display and a slightly-refined physical design and sturdy-feeling build-quality. And for nearly $700, it certainly should have a premium feel to it. Even the best phones are balancing acts of compromise, so while there's certainly something here for everyone, it's also unlikely to appeal to absolutely everyone. Most people either love or hate Sony's take on industrial design. Some bemoan the size of the top and bottom bezels. In a world where the S8 strives to give customers nothing-but-screen, Sony certainly isn't following the fashion train. But they sure as heck are following the functional-device-train. Having owned an S8, I certainly see the appeal. It's a beautiful looking device. But at the end of the day, I found the lack of bezels to be a problem in day to day use. With no edge on which to rest fingertips, I was constantly accidentally activating various apps, or accidentally hitting the wrong onscreen area within a given app. Nice to look at...but darn if it's not a pain to actually use. So, here's a subjective run down of Pros and Cons: PRO - Great screen. In addition to it's Triluminous setting, Sony has added a new video color-saturating setting. Honestly, it looks like they're taking a stab at the popping colors and deep blacks on OLED devices like the S8. And they've done a good job...this is one of the sharpest, most color popping screens out there at the moment. - Great processor. The new Snapdragon is great. Everything runs smoothly. - Headphone jack / Audio processing. Yay for hanging on to this bit of tech, the old headphone jack. Bluetooth headphones are well and good, but they eat up a battery, and they can't deliver the same quality of audio as a wired set. If how your music sounds on your device is important to you, wired is still the way to go. For now at least. And Sony's DESS audio processing sounds pretty great to my ears. Pick up a third party audio player like Neutron if you'd like even more control of the sound. CON - Physical design. This really doesn't belong in the "con" column, but the fact is either you like what Sony is doing here, or you don't. - Price. Sony offers a handful of budget models, but their flagship line has never been anything but pricey. Especially in America where the brand isn't known for it's mobile devices, the average android user might be hard pressed to pay $699 to a company they normally associate with televisions. In Europe and Asia, though, Sony remains a popular contender with Samsung and Apple for high end devices. - Battery. This also might not be a negative, as the new Snapdragon and Oreo are alleged to be more efficient with their power use. Running some benchmarks seem to bear this out, as while it leads in most areas, there are some processes they've scaled back. So far, I don't see any penalty in processing power, but I've also not had it long enough to take a firm stance on battery life. But anecdotally, it does seem to be an improvement over the XZS and XZ Performance.</t>
  </si>
  <si>
    <t>● - quality: positive
● build: positive
● physical design: positive
● processor: positive
● android 8: positive
● 1080p display: positive
● snapdragon 835: positive</t>
  </si>
  <si>
    <t>2018-04-30</t>
  </si>
  <si>
    <t>the lower left corner of the phone doesnt work with ....the lower left corner of the phone doesnt work with the stylus. im just so sick of having to return and then wait for my money to come back that im over it</t>
  </si>
  <si>
    <t>● styluses: negative</t>
  </si>
  <si>
    <t>2018-11-20</t>
  </si>
  <si>
    <t>Superb Seller not great product.I had two issues with the phone causing me to return it. 1) battery drained very quickly. Approximately 20% in an hour with the phone over heating, 2) Struggled to get cell signal(AT&amp;T). Phone feels good (I have the Qualcomm US version) which I don't experience any of these issues. It might have been a bad unit or the Korean chip isn't as smooth as Qualcomm! Seller is impressive, responsive and the product was brand new sealed!</t>
  </si>
  <si>
    <t>● chip: negative
● korean: negative
● battery: negative</t>
  </si>
  <si>
    <t>2018-12-03</t>
  </si>
  <si>
    <t>Terrible screen durability.Battery life is very short,it hasn't been a week and already microscratches.Save your money and get a phone with decent durability,and every accessory for the phone is just garbage.</t>
  </si>
  <si>
    <t>● battery life: negative
● durability: positive</t>
  </si>
  <si>
    <t>2019-01-07</t>
  </si>
  <si>
    <t>happy girl..i was so scared to order a $600 8 plus off amazon and after reading some of the reviews it made me a lil more scared. i just got my phone in the mail today and it came in a nice little assorted box with a charger and everything. i took the phone out it already had a screen protector on so that was a plus, i cut it on and activated it with no problem, and so far it’s working perfectly fine, just like new. so far so great :) thank you buyspry or however u spell it lol ❤️</t>
  </si>
  <si>
    <t>● screen protector: negative
● charger: positive</t>
  </si>
  <si>
    <t>2019-02-01</t>
  </si>
  <si>
    <t>Switched from iPhone and absolutely loving it!!.This is an absolutely amazing phone! I exclusively used iPhone for the past 5 years and recently switched to the Huawei Mate 20 Pro after my iPhone screen cracked and ran out of memory space. I've been unimpressed by Apple's lack of innovation in recent years and decided to try the mate 20 Pro after doing a lot of research and reading a lot of reviews. This phone lives up to the hype and has exceeded all of my expectations! The camera is amazing, the resolution of the screen is beautiful, and the operating system took a little getting used to but the EMUI skin that Huawei utilises seems to be slightly inspired by iOS. I haven't noticed any of the green screen bleed that some people mention and I also can't attest to the overall security of the phone (alleged Chinese malware and spying). This phone is honestly so amazing that even if the spying allegations are true I'd still own/use this phone!</t>
  </si>
  <si>
    <t>● ios: positive
● operating system: negative
● resolution of the screen: positive
● camera: positive
● emui skin: negative</t>
  </si>
  <si>
    <t>2019-02-26</t>
  </si>
  <si>
    <t>Phone is unusable.Phone came with zero instructions or paperwork. Device cannot be activated because it does NOT have a SIM card. Am returning this embarrassing excuse for a quality product. if you read every line of the description you will find a snippet that indicates there is no SIM card. Very clever! Please note that you will have to get a modern nano SIM card to use this phone. Every refurbished Verizon phone I have purchased always came with activation instructions and a Verizon SIM card. Look for another phone that is ready to be activated.</t>
  </si>
  <si>
    <t>● sim card card: negative
● sim card: negative</t>
  </si>
  <si>
    <t>2019-03-27</t>
  </si>
  <si>
    <t>Arrived damaged.Phone arrived with a number of damages: a crack in the screen, the top right corner damaged and separating from the body, and dents and scrapes on all corners. Completely unacceptable "refurbished" condition.</t>
  </si>
  <si>
    <t>● screen: negative
● the: negative</t>
  </si>
  <si>
    <t>2019-04-03</t>
  </si>
  <si>
    <t>Excellent phone.Current phone was having issues and not what was expected. Got the Pixel 3 after using/having the original. No complaints and completely pleased with it's simplicity and user-friendliness. Easier to use than the Galaxy line. Would definitely recommend as a simple to use phone with ease of access features and a great camera.</t>
  </si>
  <si>
    <t>● camera: positive
● friendliness features: positive</t>
  </si>
  <si>
    <t>2019-06-13</t>
  </si>
  <si>
    <t>awesome phone.The battery is 4000mAh . For all day , average use . This miui is pretty cool The android is updated The camera is fine Good, pretty and cheap Global model with LTE bands . Work good</t>
  </si>
  <si>
    <t>● lt: neutral
● camera: positive
● android: positive
● use: neutral
● battery: positive</t>
  </si>
  <si>
    <t>2019-08-02</t>
  </si>
  <si>
    <t>Pixel 3 has frequent display defects.I like this phone model. I bought this phone as a gift to my wife. Unfortunately, the phone turned out to be defective. There is a pink tint on the screen. Amazon does not want to properly help customers who are not in the USA. This is very sad.</t>
  </si>
  <si>
    <t>● display: negative
● screen: negative</t>
  </si>
  <si>
    <t>2019-08-12</t>
  </si>
  <si>
    <t>Good phone!.I personally think this phone is near perfect. Delivery was quick but not teleportation quick. The box came with - Galaxy A50 - Case - Sim tool - Quick charge American adapter and cable type c - low quality headphones I have used this phone for a while now and its really almost flagship level. For the price it's perfect. It will work 4g lte GSM for most providers in the States. I'll update if it works on Cricket. Performance great. UI great. Camera great. The security is great as well. But the finger scanner in the screen is not the best but it gets the job done. It looks amazing as well! Overall good phone. Edit: It works perfectly with Cricket with 4g lte.</t>
  </si>
  <si>
    <t>● screen: negative
● finger scanner: negative
● security: positive</t>
  </si>
  <si>
    <t>2019-08-28</t>
  </si>
  <si>
    <t>Came broken.The phone does not turn on at all, I bought a new USB cable to test and still does not turn on.</t>
  </si>
  <si>
    <t>● usb cable: negative</t>
  </si>
  <si>
    <t>2019-10-13</t>
  </si>
  <si>
    <t>Received used phone...The phone I received was used. It has a screen protector that it shouldn't and a scuff mark on the back from the previous owner case..</t>
  </si>
  <si>
    <t>● screen protector: negative</t>
  </si>
  <si>
    <t>Super fast and reliable.Amazing phone! I was skeptical as I've only ever had the Galaxy series of phones, but they've gotten so expensive that I had to make a change. I'm so glad I did. This phone has all the features I wanted from a Samsung and has nothing I don't need. I like the type of charger and the weight of the phone, I like the size of the screen and the speed of the fingerprint and facial recognition</t>
  </si>
  <si>
    <t>● features: positive
● facial: positive
● speed: positive
● screen: positive
● size the: positive
● charger: positive</t>
  </si>
  <si>
    <t>2019-12-08</t>
  </si>
  <si>
    <t>Only disappointment.Phone screen was in pretty rough shape when we got it. Expected much more but spent $200 on a new screen and then found out that the phone was warped. Not in the condition that it was promised, very disappointed. Will not buy from here again.</t>
  </si>
  <si>
    <t>● screen: negative</t>
  </si>
  <si>
    <t>2019-12-12</t>
  </si>
  <si>
    <t>Just ok.I bought this phone for my dad and he hasn't had any complains with it except for the fingerprint reader. The fingerprint reader never works on the first try. May be it takes getting used to.</t>
  </si>
  <si>
    <t>● fingerprint reader: negative</t>
  </si>
  <si>
    <t>2013-04-18</t>
  </si>
  <si>
    <t>Okay.Meets expectations...in case if somebody does not want to use an i-phone....this could be an ideal set...try it out..otherwise it is just to receive and make calls</t>
  </si>
  <si>
    <t>● phone: positive
● i: positive</t>
  </si>
  <si>
    <t>2015-06-18</t>
  </si>
  <si>
    <t>Five Stars.is perfect for the price!!! wonderful buy!</t>
  </si>
  <si>
    <t>● price: positive
● stars: positive</t>
  </si>
  <si>
    <t>2015-11-02</t>
  </si>
  <si>
    <t>Four Stars.The product itself is great as I already have one.</t>
  </si>
  <si>
    <t>● stars: positive</t>
  </si>
  <si>
    <t>2016-03-01</t>
  </si>
  <si>
    <t>Imei 35861.... is locked doesnt match ....Imei 35861....is locked doesnt match with unlock code .Please send me the correcta code</t>
  </si>
  <si>
    <t>● unlock: negative</t>
  </si>
  <si>
    <t>2016-07-31</t>
  </si>
  <si>
    <t>Five Stars.THE PHONE CAME FAST AND WPRKS GREAT</t>
  </si>
  <si>
    <t>● phone: positive</t>
  </si>
  <si>
    <t>2016-11-29</t>
  </si>
  <si>
    <t>Five Stars.Perfect, almost near perfect condition. No complaints</t>
  </si>
  <si>
    <t>● condition: positive</t>
  </si>
  <si>
    <t>2017-02-13</t>
  </si>
  <si>
    <t>Four Stars.old school still working in the new age</t>
  </si>
  <si>
    <t>2017-03-25</t>
  </si>
  <si>
    <t>Five Stars.great</t>
  </si>
  <si>
    <t>2017-07-27</t>
  </si>
  <si>
    <t>Great phones!.I purchased two of these for a couple of over seas friends, and according to them, the phones are working fine. Couldn't be happier!</t>
  </si>
  <si>
    <t>● phones: positive</t>
  </si>
  <si>
    <t>2017-07-29</t>
  </si>
  <si>
    <t>Five Stars.Very good</t>
  </si>
  <si>
    <t>● stars: positive
● five: positive</t>
  </si>
  <si>
    <t>2017-09-20</t>
  </si>
  <si>
    <t>Five Stars.Awesome phone, great value. Runs all apps smoothly, takes really good photos and it's overall comfortable to use.</t>
  </si>
  <si>
    <t>● use: positive
● apps: positive
● value: positive
● phone: positive</t>
  </si>
  <si>
    <t>2017-11-03</t>
  </si>
  <si>
    <t>Not a happy.I bought this in July and it died completely in October. Not a happy camper</t>
  </si>
  <si>
    <t>● camper: negative</t>
  </si>
  <si>
    <t>2018-04-03</t>
  </si>
  <si>
    <t>One Star.They say it was new but it wasn't it was used 🙄</t>
  </si>
  <si>
    <t>● star: neutral</t>
  </si>
  <si>
    <t>2018-08-31</t>
  </si>
  <si>
    <t>Love this phone!!!.Fast phone and easy setup. Very intuitive and easy to use. So glad I switched from a Samsung!! Already have Pi installed and there were no install errors or slow down of apps after install.</t>
  </si>
  <si>
    <t>● apps: negative
● use: positive
● setup: positive</t>
  </si>
  <si>
    <t>No me gusta.Muy pequeño</t>
  </si>
  <si>
    <t>● pequeo: positive</t>
  </si>
  <si>
    <t>2018-11-18</t>
  </si>
  <si>
    <t>It's Great.Works just as if it was new. Great condition.</t>
  </si>
  <si>
    <t>● works: positive</t>
  </si>
  <si>
    <t>2019-02-24</t>
  </si>
  <si>
    <t>Descontento.Hola No recibí lo que compré Debería tener 4GB de RAM , lo que me mandaron es 3 GB de RAM y lo quiero devolver las 10 unidades O ME PUEDEN BAJAR EL PRECIO Y ME QUEDARE CON LA MERCANCÍA Gracias</t>
  </si>
  <si>
    <t>● ram: negative
● 4: negative</t>
  </si>
  <si>
    <t>2019-05-16</t>
  </si>
  <si>
    <t>Great value..Perfect phone.</t>
  </si>
  <si>
    <t>● phone: positive
● value: positive</t>
  </si>
  <si>
    <t>2019-08-27</t>
  </si>
  <si>
    <t>Not worth the money!.This was a relatively low quality phone. The sound on it is poor at best. You can hardly hear it ring. I missed several phone calls until I figured it out. I decided to keep it, simply because it was easier then sending it back. I already sent back the first phone I got, and didn't want to do it again. I will not buy from this company again in the future. Their products just aren't worth the money.</t>
  </si>
  <si>
    <t>● sound: negative</t>
  </si>
  <si>
    <t>2019-11-14</t>
  </si>
  <si>
    <t>Its awesome.Wonderful phone</t>
  </si>
  <si>
    <t>2013-12-08</t>
  </si>
  <si>
    <t>LOVE THIS Phone! Beautiful, light, fast ... Android users can't go wrong with this..Well, since I'm far from the first review of this phone I won't go into all the features (which I've only scratched the surface of anyway!). Instead I'll just give my overall impressions. I LOVE this phone. It looks great, fantastic screen and size, it's thin and light. The speed is excellent on just about every app and feature I've used. I really have no complaints after about 2 weeks of using it. Oh, battery life ... having had the S2 before this with battery life of - maybe - half a day this is a pleasure. For example, as I write this at about 11pm after an admittedly light usage day, the battery is still at 74% I'm not saying this is the norm but so far I have not had a day where the phone would have died before the end of the day if I hadn't charged it. We'll see how that holds up over time but for now, battery life is excellent. BATTERY UPDATE: Have had the phone close to 2 weeks now and I must say that battery life has been more than acceptable. Today is a fairly typical day I think. As I write this around 3:30pm I'm at close to 70% battery life. Considering that it was fully charged at 6:30am I'd say that's not too bad. Hope this is helpful. Oh, and as a kicker, I managed to snag this for $0.01 thanks to an unannounced (as far as I know) Amazon sale so that makes this phone even sweeter. Thanks Samsung ... thanks Amazon [it pays to poke around the site on Thanksgiving night!! lol] If you're an android user or switching to it, get this phone!! Hope this is helpful to some of you.</t>
  </si>
  <si>
    <t>● android: positive
● feature: neutral
● app: positive
● speed: positive
● features: neutral</t>
  </si>
  <si>
    <t>Performance and Speed</t>
  </si>
  <si>
    <t>2018-06-20</t>
  </si>
  <si>
    <t>See The Phone In Person. . ..I am interested in a all weather phone, so I began with this Convoy. . . Verizon does not offered coverage for the phones entire range of functions. . . The shift to LTE systems in 2019 might be the reason. . . That being stated; the phone appears durable, difficult to text with, and limited contact preset numbers. It does access bluetooth function, my age prevents me from gaining good audiblefrom the speakers. . . It gets further testing in Monterrey Bay, kayaking. . .</t>
  </si>
  <si>
    <t>● lte systems: negative</t>
  </si>
  <si>
    <t>2019-02-22</t>
  </si>
  <si>
    <t>good phone, functions as advertised.decent phone for the price, wish it didnt have as much uninstallable bloatware, but will likely just root and reimage it in a few months.</t>
  </si>
  <si>
    <t>● price: positive
● bloatware: negative</t>
  </si>
  <si>
    <t>2019-04-02</t>
  </si>
  <si>
    <t>cheap and useful.huawei always gives us surprise! This price phone is amazing:D</t>
  </si>
  <si>
    <t>● price: positive</t>
  </si>
  <si>
    <t>Software and Operating Systems</t>
  </si>
  <si>
    <t>2017-01-06</t>
  </si>
  <si>
    <t>review of Samsung Galaxy 6 - refurbished 9by whom?).phone/charger seem good, lack of ANY documentation was a disappointment. Samsungs' changing SIM size caused a slight problem. My problem is to find time setting up features utilizing info from the additional books I have subsequently acquired. Formerly wore out 2 Samsung Galaxy G3s (and an LG G3 (thanks, T-Mobile)).</t>
  </si>
  <si>
    <t>● features: neutral</t>
  </si>
  <si>
    <t>2019-12-14</t>
  </si>
  <si>
    <t>Phone can only be unlocked by factory reset.I purchased this phone before my trip to Ireland. I took hundreds of pictures - only one picture from the entire trip backed up to google, and it was a picture from the middle of the trip! When I returned to the states, the phone locked and will only unlock with a factory reset, which will lose all my pictures that are on it. I called Google Help, Verizon Help, Pixel Help and after hours of attempts from these technicians - the phone would still not get out of the unlock loop. I now have a very expensive paperweight and no pictures from a once in a lifetime trip!</t>
  </si>
  <si>
    <t>● google: neutral</t>
  </si>
  <si>
    <t>phone</t>
  </si>
  <si>
    <t>I</t>
  </si>
  <si>
    <t>feature</t>
  </si>
  <si>
    <t>app</t>
  </si>
  <si>
    <t>android</t>
  </si>
  <si>
    <t>speed</t>
  </si>
  <si>
    <t>battery</t>
  </si>
  <si>
    <t>iphone</t>
  </si>
  <si>
    <t>window 8</t>
  </si>
  <si>
    <t>window 7 . 8</t>
  </si>
  <si>
    <t>quality</t>
  </si>
  <si>
    <t>internet speed</t>
  </si>
  <si>
    <t>wifi</t>
  </si>
  <si>
    <t>star</t>
  </si>
  <si>
    <t>unlock</t>
  </si>
  <si>
    <t>bloatware</t>
  </si>
  <si>
    <t>note 7</t>
  </si>
  <si>
    <t>size</t>
  </si>
  <si>
    <t>cost</t>
  </si>
  <si>
    <t>edge</t>
  </si>
  <si>
    <t>s</t>
  </si>
  <si>
    <t>camera</t>
  </si>
  <si>
    <t>mobile sim card</t>
  </si>
  <si>
    <t>t</t>
  </si>
  <si>
    <t>charge</t>
  </si>
  <si>
    <t>sim card</t>
  </si>
  <si>
    <t>samsung</t>
  </si>
  <si>
    <t>condition</t>
  </si>
  <si>
    <t>scuf</t>
  </si>
  <si>
    <t>lock button</t>
  </si>
  <si>
    <t>reception</t>
  </si>
  <si>
    <t>design</t>
  </si>
  <si>
    <t>five</t>
  </si>
  <si>
    <t>use</t>
  </si>
  <si>
    <t>value</t>
  </si>
  <si>
    <t>build</t>
  </si>
  <si>
    <t>physical design</t>
  </si>
  <si>
    <t>snapdragon 835</t>
  </si>
  <si>
    <t>processor</t>
  </si>
  <si>
    <t>android 8</t>
  </si>
  <si>
    <t>1080p display</t>
  </si>
  <si>
    <t>- quality</t>
  </si>
  <si>
    <t>camper</t>
  </si>
  <si>
    <t>internet</t>
  </si>
  <si>
    <t>seller</t>
  </si>
  <si>
    <t>screen</t>
  </si>
  <si>
    <t>finish</t>
  </si>
  <si>
    <t>front</t>
  </si>
  <si>
    <t>glass</t>
  </si>
  <si>
    <t>back</t>
  </si>
  <si>
    <t>provider</t>
  </si>
  <si>
    <t>mobile</t>
  </si>
  <si>
    <t>stylus</t>
  </si>
  <si>
    <t>lte system</t>
  </si>
  <si>
    <t>amazon</t>
  </si>
  <si>
    <t>pequeo</t>
  </si>
  <si>
    <t>setup</t>
  </si>
  <si>
    <t>chip</t>
  </si>
  <si>
    <t>korean</t>
  </si>
  <si>
    <t>durability</t>
  </si>
  <si>
    <t>battery life</t>
  </si>
  <si>
    <t>screen protector</t>
  </si>
  <si>
    <t>charger</t>
  </si>
  <si>
    <t>resolution of the screen</t>
  </si>
  <si>
    <t>io</t>
  </si>
  <si>
    <t>operating system</t>
  </si>
  <si>
    <t>emui skin</t>
  </si>
  <si>
    <t>external battery</t>
  </si>
  <si>
    <t>moto</t>
  </si>
  <si>
    <t>extra battery</t>
  </si>
  <si>
    <t>4</t>
  </si>
  <si>
    <t>ram</t>
  </si>
  <si>
    <t>sim card card</t>
  </si>
  <si>
    <t>sim</t>
  </si>
  <si>
    <t>spec</t>
  </si>
  <si>
    <t>dual</t>
  </si>
  <si>
    <t>the</t>
  </si>
  <si>
    <t>friendliness feature</t>
  </si>
  <si>
    <t>back button</t>
  </si>
  <si>
    <t>lt</t>
  </si>
  <si>
    <t>price tag</t>
  </si>
  <si>
    <t>display</t>
  </si>
  <si>
    <t>finger scanner</t>
  </si>
  <si>
    <t>security</t>
  </si>
  <si>
    <t>warranty</t>
  </si>
  <si>
    <t>service provider</t>
  </si>
  <si>
    <t>sound</t>
  </si>
  <si>
    <t>usb cable</t>
  </si>
  <si>
    <t>kpop</t>
  </si>
  <si>
    <t>facial</t>
  </si>
  <si>
    <t>size the</t>
  </si>
  <si>
    <t>process</t>
  </si>
  <si>
    <t>usb c cable</t>
  </si>
  <si>
    <t>fingerprint reader</t>
  </si>
  <si>
    <r>
      <t xml:space="preserve">The phone has a </t>
    </r>
    <r>
      <rPr>
        <b/>
        <sz val="11"/>
        <color theme="1"/>
        <rFont val="Calibri"/>
        <family val="2"/>
        <scheme val="minor"/>
      </rPr>
      <t>beautiful 1080p display</t>
    </r>
    <r>
      <rPr>
        <sz val="11"/>
        <color theme="1"/>
        <rFont val="Calibri"/>
        <family val="2"/>
        <scheme val="minor"/>
      </rPr>
      <t xml:space="preserve"> and a sturdy build quality with slightly-refined design.</t>
    </r>
  </si>
  <si>
    <r>
      <t xml:space="preserve">The camera is </t>
    </r>
    <r>
      <rPr>
        <b/>
        <sz val="11"/>
        <color theme="1"/>
        <rFont val="Calibri"/>
        <family val="2"/>
        <scheme val="minor"/>
      </rPr>
      <t>exceptional</t>
    </r>
    <r>
      <rPr>
        <sz val="11"/>
        <color theme="1"/>
        <rFont val="Calibri"/>
        <family val="2"/>
        <scheme val="minor"/>
      </rPr>
      <t>, and many users bought the phone primarily for its camera capabilities.</t>
    </r>
  </si>
  <si>
    <r>
      <t xml:space="preserve">Users praised the </t>
    </r>
    <r>
      <rPr>
        <b/>
        <sz val="11"/>
        <color theme="1"/>
        <rFont val="Calibri"/>
        <family val="2"/>
        <scheme val="minor"/>
      </rPr>
      <t>ease of access features</t>
    </r>
    <r>
      <rPr>
        <sz val="11"/>
        <color theme="1"/>
        <rFont val="Calibri"/>
        <family val="2"/>
        <scheme val="minor"/>
      </rPr>
      <t>, speed of fingerprint and facial recognition, and the phone's simplicity.</t>
    </r>
  </si>
  <si>
    <r>
      <t xml:space="preserve">A </t>
    </r>
    <r>
      <rPr>
        <b/>
        <sz val="11"/>
        <color theme="1"/>
        <rFont val="Calibri"/>
        <family val="2"/>
        <scheme val="minor"/>
      </rPr>
      <t>pre-applied screen protector</t>
    </r>
    <r>
      <rPr>
        <sz val="11"/>
        <color theme="1"/>
        <rFont val="Calibri"/>
        <family val="2"/>
        <scheme val="minor"/>
      </rPr>
      <t xml:space="preserve"> was appreciated by some buyers.</t>
    </r>
  </si>
  <si>
    <r>
      <t xml:space="preserve">The battery provides </t>
    </r>
    <r>
      <rPr>
        <b/>
        <sz val="11"/>
        <color theme="1"/>
        <rFont val="Calibri"/>
        <family val="2"/>
        <scheme val="minor"/>
      </rPr>
      <t>outstanding value for dual SIM use</t>
    </r>
    <r>
      <rPr>
        <sz val="11"/>
        <color theme="1"/>
        <rFont val="Calibri"/>
        <family val="2"/>
        <scheme val="minor"/>
      </rPr>
      <t>, and one user highlighted the extra battery as "wonderful."</t>
    </r>
  </si>
  <si>
    <r>
      <t xml:space="preserve">Some described the finish as </t>
    </r>
    <r>
      <rPr>
        <b/>
        <sz val="11"/>
        <color theme="1"/>
        <rFont val="Calibri"/>
        <family val="2"/>
        <scheme val="minor"/>
      </rPr>
      <t>flawless</t>
    </r>
    <r>
      <rPr>
        <sz val="11"/>
        <color theme="1"/>
        <rFont val="Calibri"/>
        <family val="2"/>
        <scheme val="minor"/>
      </rPr>
      <t xml:space="preserve"> after glass replacement.</t>
    </r>
  </si>
  <si>
    <r>
      <t xml:space="preserve">Users liked the </t>
    </r>
    <r>
      <rPr>
        <b/>
        <sz val="11"/>
        <color theme="1"/>
        <rFont val="Calibri"/>
        <family val="2"/>
        <scheme val="minor"/>
      </rPr>
      <t>Band 71 support</t>
    </r>
    <r>
      <rPr>
        <sz val="11"/>
        <color theme="1"/>
        <rFont val="Calibri"/>
        <family val="2"/>
        <scheme val="minor"/>
      </rPr>
      <t>, making the phone more versatile.</t>
    </r>
  </si>
  <si>
    <r>
      <t xml:space="preserve">The fingerprint scanner in the screen is </t>
    </r>
    <r>
      <rPr>
        <b/>
        <sz val="11"/>
        <color theme="1"/>
        <rFont val="Calibri"/>
        <family val="2"/>
        <scheme val="minor"/>
      </rPr>
      <t>functional but not the best</t>
    </r>
    <r>
      <rPr>
        <sz val="11"/>
        <color theme="1"/>
        <rFont val="Calibri"/>
        <family val="2"/>
        <scheme val="minor"/>
      </rPr>
      <t>.</t>
    </r>
  </si>
  <si>
    <r>
      <t xml:space="preserve">Battery life ranged from satisfactory for </t>
    </r>
    <r>
      <rPr>
        <b/>
        <sz val="11"/>
        <color theme="1"/>
        <rFont val="Calibri"/>
        <family val="2"/>
        <scheme val="minor"/>
      </rPr>
      <t>average use</t>
    </r>
    <r>
      <rPr>
        <sz val="11"/>
        <color theme="1"/>
        <rFont val="Calibri"/>
        <family val="2"/>
        <scheme val="minor"/>
      </rPr>
      <t xml:space="preserve"> (4000mAh) to disappointing for heavy use.</t>
    </r>
  </si>
  <si>
    <r>
      <t xml:space="preserve">Externally, the phones were described as in </t>
    </r>
    <r>
      <rPr>
        <b/>
        <sz val="11"/>
        <color theme="1"/>
        <rFont val="Calibri"/>
        <family val="2"/>
        <scheme val="minor"/>
      </rPr>
      <t>good condition</t>
    </r>
    <r>
      <rPr>
        <sz val="11"/>
        <color theme="1"/>
        <rFont val="Calibri"/>
        <family val="2"/>
        <scheme val="minor"/>
      </rPr>
      <t>, but internal issues (e.g., Face ID not working or battery defects) were common.</t>
    </r>
  </si>
  <si>
    <r>
      <t>Display defects</t>
    </r>
    <r>
      <rPr>
        <sz val="11"/>
        <color theme="1"/>
        <rFont val="Calibri"/>
        <family val="2"/>
        <scheme val="minor"/>
      </rPr>
      <t xml:space="preserve"> like a pink tint, purple discoloration, and non-functioning corners were frequent complaints.</t>
    </r>
  </si>
  <si>
    <r>
      <t xml:space="preserve">Many phones arrived with </t>
    </r>
    <r>
      <rPr>
        <b/>
        <sz val="11"/>
        <color theme="1"/>
        <rFont val="Calibri"/>
        <family val="2"/>
        <scheme val="minor"/>
      </rPr>
      <t>visible damages</t>
    </r>
    <r>
      <rPr>
        <sz val="11"/>
        <color theme="1"/>
        <rFont val="Calibri"/>
        <family val="2"/>
        <scheme val="minor"/>
      </rPr>
      <t>, including cracks, scuffs, and dents.</t>
    </r>
  </si>
  <si>
    <t>Improperly seated glass after replacement caused issues for some users.</t>
  </si>
  <si>
    <r>
      <t xml:space="preserve">Serious </t>
    </r>
    <r>
      <rPr>
        <b/>
        <sz val="11"/>
        <color theme="1"/>
        <rFont val="Calibri"/>
        <family val="2"/>
        <scheme val="minor"/>
      </rPr>
      <t>battery problems</t>
    </r>
    <r>
      <rPr>
        <sz val="11"/>
        <color theme="1"/>
        <rFont val="Calibri"/>
        <family val="2"/>
        <scheme val="minor"/>
      </rPr>
      <t xml:space="preserve"> included rapid drainage, inaccurate charge readings, and devices failing to charge or power on.</t>
    </r>
  </si>
  <si>
    <r>
      <t xml:space="preserve">Issues with </t>
    </r>
    <r>
      <rPr>
        <b/>
        <sz val="11"/>
        <color theme="1"/>
        <rFont val="Calibri"/>
        <family val="2"/>
        <scheme val="minor"/>
      </rPr>
      <t>activation</t>
    </r>
    <r>
      <rPr>
        <sz val="11"/>
        <color theme="1"/>
        <rFont val="Calibri"/>
        <family val="2"/>
        <scheme val="minor"/>
      </rPr>
      <t xml:space="preserve"> and SIM compatibility were noted, especially with T-Mobile.</t>
    </r>
  </si>
  <si>
    <r>
      <t xml:space="preserve">The phone's durability was criticized, with some describing it as </t>
    </r>
    <r>
      <rPr>
        <b/>
        <sz val="11"/>
        <color theme="1"/>
        <rFont val="Calibri"/>
        <family val="2"/>
        <scheme val="minor"/>
      </rPr>
      <t>not very sturdy</t>
    </r>
    <r>
      <rPr>
        <sz val="11"/>
        <color theme="1"/>
        <rFont val="Calibri"/>
        <family val="2"/>
        <scheme val="minor"/>
      </rPr>
      <t>.</t>
    </r>
  </si>
  <si>
    <r>
      <t xml:space="preserve">Several phones arrived in </t>
    </r>
    <r>
      <rPr>
        <b/>
        <sz val="11"/>
        <color theme="1"/>
        <rFont val="Calibri"/>
        <family val="2"/>
        <scheme val="minor"/>
      </rPr>
      <t>non-functional states</t>
    </r>
    <r>
      <rPr>
        <sz val="11"/>
        <color theme="1"/>
        <rFont val="Calibri"/>
        <family val="2"/>
        <scheme val="minor"/>
      </rPr>
      <t>, requiring troubleshooting or replacement parts.</t>
    </r>
  </si>
  <si>
    <r>
      <t xml:space="preserve">Runs </t>
    </r>
    <r>
      <rPr>
        <b/>
        <sz val="11"/>
        <color theme="1"/>
        <rFont val="Calibri"/>
        <family val="2"/>
        <scheme val="minor"/>
      </rPr>
      <t>smoothly with excellent speed</t>
    </r>
    <r>
      <rPr>
        <sz val="11"/>
        <color theme="1"/>
        <rFont val="Calibri"/>
        <family val="2"/>
        <scheme val="minor"/>
      </rPr>
      <t>, performing well across apps and features.</t>
    </r>
  </si>
  <si>
    <r>
      <t xml:space="preserve">Users appreciated clean systems with </t>
    </r>
    <r>
      <rPr>
        <b/>
        <sz val="11"/>
        <color theme="1"/>
        <rFont val="Calibri"/>
        <family val="2"/>
        <scheme val="minor"/>
      </rPr>
      <t>minimal bloatware</t>
    </r>
    <r>
      <rPr>
        <sz val="11"/>
        <color theme="1"/>
        <rFont val="Calibri"/>
        <family val="2"/>
        <scheme val="minor"/>
      </rPr>
      <t>, especially on models like the OnePlus Three.</t>
    </r>
  </si>
  <si>
    <r>
      <t>Android updates</t>
    </r>
    <r>
      <rPr>
        <sz val="11"/>
        <color theme="1"/>
        <rFont val="Calibri"/>
        <family val="2"/>
        <scheme val="minor"/>
      </rPr>
      <t xml:space="preserve"> ensured compatibility and smooth operation for apps and the camera.</t>
    </r>
  </si>
  <si>
    <r>
      <t xml:space="preserve">The </t>
    </r>
    <r>
      <rPr>
        <b/>
        <sz val="11"/>
        <color theme="1"/>
        <rFont val="Calibri"/>
        <family val="2"/>
        <scheme val="minor"/>
      </rPr>
      <t>EMUI skin</t>
    </r>
    <r>
      <rPr>
        <sz val="11"/>
        <color theme="1"/>
        <rFont val="Calibri"/>
        <family val="2"/>
        <scheme val="minor"/>
      </rPr>
      <t xml:space="preserve"> received mixed feedback but was noted to be inspired by iOS, offering familiarity for some.</t>
    </r>
  </si>
  <si>
    <t>Samsung models were praised for having all desired features without unnecessary extras.</t>
  </si>
  <si>
    <t>Users switching to Android found the phone intuitive and recommendable.</t>
  </si>
  <si>
    <r>
      <t xml:space="preserve">The </t>
    </r>
    <r>
      <rPr>
        <b/>
        <sz val="11"/>
        <color theme="1"/>
        <rFont val="Calibri"/>
        <family val="2"/>
        <scheme val="minor"/>
      </rPr>
      <t>Google ecosystem integration</t>
    </r>
    <r>
      <rPr>
        <sz val="11"/>
        <color theme="1"/>
        <rFont val="Calibri"/>
        <family val="2"/>
        <scheme val="minor"/>
      </rPr>
      <t xml:space="preserve"> (e.g., preinstalled Google apps) worked seamlessly for most users.</t>
    </r>
  </si>
  <si>
    <r>
      <t xml:space="preserve">Installed apps like </t>
    </r>
    <r>
      <rPr>
        <b/>
        <sz val="11"/>
        <color theme="1"/>
        <rFont val="Calibri"/>
        <family val="2"/>
        <scheme val="minor"/>
      </rPr>
      <t>Pi ran without errors</t>
    </r>
    <r>
      <rPr>
        <sz val="11"/>
        <color theme="1"/>
        <rFont val="Calibri"/>
        <family val="2"/>
        <scheme val="minor"/>
      </rPr>
      <t xml:space="preserve"> or slowdowns, maintaining smooth performance.</t>
    </r>
  </si>
  <si>
    <r>
      <t xml:space="preserve">Some users found </t>
    </r>
    <r>
      <rPr>
        <b/>
        <sz val="11"/>
        <color theme="1"/>
        <rFont val="Calibri"/>
        <family val="2"/>
        <scheme val="minor"/>
      </rPr>
      <t>exclusive features</t>
    </r>
    <r>
      <rPr>
        <sz val="11"/>
        <color theme="1"/>
        <rFont val="Calibri"/>
        <family val="2"/>
        <scheme val="minor"/>
      </rPr>
      <t xml:space="preserve"> underutilized or unnecessary.</t>
    </r>
  </si>
  <si>
    <r>
      <t xml:space="preserve">The </t>
    </r>
    <r>
      <rPr>
        <b/>
        <sz val="11"/>
        <color theme="1"/>
        <rFont val="Calibri"/>
        <family val="2"/>
        <scheme val="minor"/>
      </rPr>
      <t>EMUI skin</t>
    </r>
    <r>
      <rPr>
        <sz val="11"/>
        <color theme="1"/>
        <rFont val="Calibri"/>
        <family val="2"/>
        <scheme val="minor"/>
      </rPr>
      <t xml:space="preserve"> required a learning curve, though the overall OS was described as functional.</t>
    </r>
  </si>
  <si>
    <t>While preinstalled apps were functional, users expressed a need for improvement in specific bundled apps.</t>
  </si>
  <si>
    <r>
      <t xml:space="preserve">Complaints about </t>
    </r>
    <r>
      <rPr>
        <b/>
        <sz val="11"/>
        <color theme="1"/>
        <rFont val="Calibri"/>
        <family val="2"/>
        <scheme val="minor"/>
      </rPr>
      <t>uninstallable bloatware</t>
    </r>
    <r>
      <rPr>
        <sz val="11"/>
        <color theme="1"/>
        <rFont val="Calibri"/>
        <family val="2"/>
        <scheme val="minor"/>
      </rPr>
      <t xml:space="preserve"> led some users to consider rooting their devices.</t>
    </r>
  </si>
  <si>
    <r>
      <t xml:space="preserve">Challenges were noted in </t>
    </r>
    <r>
      <rPr>
        <b/>
        <sz val="11"/>
        <color theme="1"/>
        <rFont val="Calibri"/>
        <family val="2"/>
        <scheme val="minor"/>
      </rPr>
      <t>configuring features</t>
    </r>
    <r>
      <rPr>
        <sz val="11"/>
        <color theme="1"/>
        <rFont val="Calibri"/>
        <family val="2"/>
        <scheme val="minor"/>
      </rPr>
      <t xml:space="preserve"> or finding time to set up the phone fully.</t>
    </r>
  </si>
  <si>
    <r>
      <t xml:space="preserve">Issues with </t>
    </r>
    <r>
      <rPr>
        <b/>
        <sz val="11"/>
        <color theme="1"/>
        <rFont val="Calibri"/>
        <family val="2"/>
        <scheme val="minor"/>
      </rPr>
      <t>Google Photos backup</t>
    </r>
    <r>
      <rPr>
        <sz val="11"/>
        <color theme="1"/>
        <rFont val="Calibri"/>
        <family val="2"/>
        <scheme val="minor"/>
      </rPr>
      <t xml:space="preserve"> were reported, with some pictures not syncing correctly.</t>
    </r>
  </si>
  <si>
    <r>
      <t xml:space="preserve">Users frequently describe the phone as offering </t>
    </r>
    <r>
      <rPr>
        <b/>
        <sz val="11"/>
        <color theme="1"/>
        <rFont val="Calibri"/>
        <family val="2"/>
        <scheme val="minor"/>
      </rPr>
      <t>great value for its price</t>
    </r>
    <r>
      <rPr>
        <sz val="11"/>
        <color theme="1"/>
        <rFont val="Calibri"/>
        <family val="2"/>
        <scheme val="minor"/>
      </rPr>
      <t>, with terms like "awesome phone, great value" and "perfect for the price."</t>
    </r>
  </si>
  <si>
    <r>
      <t xml:space="preserve">The device is considered a </t>
    </r>
    <r>
      <rPr>
        <b/>
        <sz val="11"/>
        <color theme="1"/>
        <rFont val="Calibri"/>
        <family val="2"/>
        <scheme val="minor"/>
      </rPr>
      <t>very good phone within its price range</t>
    </r>
    <r>
      <rPr>
        <sz val="11"/>
        <color theme="1"/>
        <rFont val="Calibri"/>
        <family val="2"/>
        <scheme val="minor"/>
      </rPr>
      <t>, delivering substantial features and performance.</t>
    </r>
  </si>
  <si>
    <r>
      <t xml:space="preserve">Some users note that while you "get what you pay for," this phone provides </t>
    </r>
    <r>
      <rPr>
        <b/>
        <sz val="11"/>
        <color theme="1"/>
        <rFont val="Calibri"/>
        <family val="2"/>
        <scheme val="minor"/>
      </rPr>
      <t>a lot for its price</t>
    </r>
    <r>
      <rPr>
        <sz val="11"/>
        <color theme="1"/>
        <rFont val="Calibri"/>
        <family val="2"/>
        <scheme val="minor"/>
      </rPr>
      <t>, indicating satisfaction with the value received.</t>
    </r>
  </si>
  <si>
    <r>
      <t xml:space="preserve">The combination of specifications and battery life is highlighted as providing </t>
    </r>
    <r>
      <rPr>
        <b/>
        <sz val="11"/>
        <color theme="1"/>
        <rFont val="Calibri"/>
        <family val="2"/>
        <scheme val="minor"/>
      </rPr>
      <t>outstanding value</t>
    </r>
    <r>
      <rPr>
        <sz val="11"/>
        <color theme="1"/>
        <rFont val="Calibri"/>
        <family val="2"/>
        <scheme val="minor"/>
      </rPr>
      <t>, particularly for dual SIM functionality.</t>
    </r>
  </si>
  <si>
    <r>
      <t xml:space="preserve">While acknowledging the phone as </t>
    </r>
    <r>
      <rPr>
        <b/>
        <sz val="11"/>
        <color theme="1"/>
        <rFont val="Calibri"/>
        <family val="2"/>
        <scheme val="minor"/>
      </rPr>
      <t>decent for its price</t>
    </r>
    <r>
      <rPr>
        <sz val="11"/>
        <color theme="1"/>
        <rFont val="Calibri"/>
        <family val="2"/>
        <scheme val="minor"/>
      </rPr>
      <t xml:space="preserve">, some users express concerns about </t>
    </r>
    <r>
      <rPr>
        <b/>
        <sz val="11"/>
        <color theme="1"/>
        <rFont val="Calibri"/>
        <family val="2"/>
        <scheme val="minor"/>
      </rPr>
      <t>unnecessary bloatware</t>
    </r>
    <r>
      <rPr>
        <sz val="11"/>
        <color theme="1"/>
        <rFont val="Calibri"/>
        <family val="2"/>
        <scheme val="minor"/>
      </rPr>
      <t>, suggesting that pre-installed applications detract from the overall value.</t>
    </r>
  </si>
  <si>
    <r>
      <t xml:space="preserve">A few users feel that despite certain positive aspects, such as taking "very nice photos," the phone </t>
    </r>
    <r>
      <rPr>
        <b/>
        <sz val="11"/>
        <color theme="1"/>
        <rFont val="Calibri"/>
        <family val="2"/>
        <scheme val="minor"/>
      </rPr>
      <t>isn't worth the higher price tag</t>
    </r>
    <r>
      <rPr>
        <sz val="11"/>
        <color theme="1"/>
        <rFont val="Calibri"/>
        <family val="2"/>
        <scheme val="minor"/>
      </rPr>
      <t xml:space="preserve"> (e.g., $120+), indicating a perception of insufficient value for the cost.</t>
    </r>
  </si>
  <si>
    <r>
      <t xml:space="preserve">Comparisons to other models, like the S7 Edge and Note 7, highlight that while those devices may offer better features, their </t>
    </r>
    <r>
      <rPr>
        <b/>
        <sz val="11"/>
        <color theme="1"/>
        <rFont val="Calibri"/>
        <family val="2"/>
        <scheme val="minor"/>
      </rPr>
      <t>higher costs (e.g., $800 on contract)</t>
    </r>
    <r>
      <rPr>
        <sz val="11"/>
        <color theme="1"/>
        <rFont val="Calibri"/>
        <family val="2"/>
        <scheme val="minor"/>
      </rPr>
      <t xml:space="preserve"> are viewed as </t>
    </r>
    <r>
      <rPr>
        <b/>
        <sz val="11"/>
        <color theme="1"/>
        <rFont val="Calibri"/>
        <family val="2"/>
        <scheme val="minor"/>
      </rPr>
      <t>absurd</t>
    </r>
    <r>
      <rPr>
        <sz val="11"/>
        <color theme="1"/>
        <rFont val="Calibri"/>
        <family val="2"/>
        <scheme val="minor"/>
      </rPr>
      <t>, suggesting that this phone is a more reasonable alternative despite some shortcomings.</t>
    </r>
  </si>
  <si>
    <r>
      <t xml:space="preserve">Some users reported </t>
    </r>
    <r>
      <rPr>
        <b/>
        <sz val="11"/>
        <color theme="1"/>
        <rFont val="Calibri"/>
        <family val="2"/>
        <scheme val="minor"/>
      </rPr>
      <t>no issues with SIM cards</t>
    </r>
    <r>
      <rPr>
        <sz val="11"/>
        <color theme="1"/>
        <rFont val="Calibri"/>
        <family val="2"/>
        <scheme val="minor"/>
      </rPr>
      <t>, reception, or WiFi.</t>
    </r>
  </si>
  <si>
    <r>
      <t xml:space="preserve">WiFi was described as </t>
    </r>
    <r>
      <rPr>
        <b/>
        <sz val="11"/>
        <color theme="1"/>
        <rFont val="Calibri"/>
        <family val="2"/>
        <scheme val="minor"/>
      </rPr>
      <t>fast</t>
    </r>
    <r>
      <rPr>
        <sz val="11"/>
        <color theme="1"/>
        <rFont val="Calibri"/>
        <family val="2"/>
        <scheme val="minor"/>
      </rPr>
      <t xml:space="preserve"> by one user, indicating good performance under optimal conditions.</t>
    </r>
  </si>
  <si>
    <r>
      <t xml:space="preserve">Dual SIM functionality contributed to </t>
    </r>
    <r>
      <rPr>
        <b/>
        <sz val="11"/>
        <color theme="1"/>
        <rFont val="Calibri"/>
        <family val="2"/>
        <scheme val="minor"/>
      </rPr>
      <t>value for the price</t>
    </r>
    <r>
      <rPr>
        <sz val="11"/>
        <color theme="1"/>
        <rFont val="Calibri"/>
        <family val="2"/>
        <scheme val="minor"/>
      </rPr>
      <t>, though connectivity performance issues might vary depending on the device.</t>
    </r>
  </si>
  <si>
    <r>
      <t xml:space="preserve">Frequent reports of </t>
    </r>
    <r>
      <rPr>
        <b/>
        <sz val="11"/>
        <color theme="1"/>
        <rFont val="Calibri"/>
        <family val="2"/>
        <scheme val="minor"/>
      </rPr>
      <t>dropped calls and poor service</t>
    </r>
    <r>
      <rPr>
        <sz val="11"/>
        <color theme="1"/>
        <rFont val="Calibri"/>
        <family val="2"/>
        <scheme val="minor"/>
      </rPr>
      <t>, with some attributing these issues to the device rather than the network.</t>
    </r>
  </si>
  <si>
    <r>
      <t>WiFi connectivity problems</t>
    </r>
    <r>
      <rPr>
        <sz val="11"/>
        <color theme="1"/>
        <rFont val="Calibri"/>
        <family val="2"/>
        <scheme val="minor"/>
      </rPr>
      <t xml:space="preserve"> were common, including devices that connected but lacked internet access and one with a completely broken WiFi module.</t>
    </r>
  </si>
  <si>
    <r>
      <t xml:space="preserve">A user highlighted </t>
    </r>
    <r>
      <rPr>
        <b/>
        <sz val="11"/>
        <color theme="1"/>
        <rFont val="Calibri"/>
        <family val="2"/>
        <scheme val="minor"/>
      </rPr>
      <t>serious WiFi issues</t>
    </r>
    <r>
      <rPr>
        <sz val="11"/>
        <color theme="1"/>
        <rFont val="Calibri"/>
        <family val="2"/>
        <scheme val="minor"/>
      </rPr>
      <t xml:space="preserve"> specific to Sony phones.</t>
    </r>
  </si>
  <si>
    <r>
      <t xml:space="preserve">Lack of </t>
    </r>
    <r>
      <rPr>
        <b/>
        <sz val="11"/>
        <color theme="1"/>
        <rFont val="Calibri"/>
        <family val="2"/>
        <scheme val="minor"/>
      </rPr>
      <t>SIM compatibility</t>
    </r>
    <r>
      <rPr>
        <sz val="11"/>
        <color theme="1"/>
        <rFont val="Calibri"/>
        <family val="2"/>
        <scheme val="minor"/>
      </rPr>
      <t xml:space="preserve"> with certain networks was a frustration for some buyers.</t>
    </r>
  </si>
  <si>
    <r>
      <t xml:space="preserve">Repeated checks with service providers confirmed that </t>
    </r>
    <r>
      <rPr>
        <b/>
        <sz val="11"/>
        <color theme="1"/>
        <rFont val="Calibri"/>
        <family val="2"/>
        <scheme val="minor"/>
      </rPr>
      <t>connectivity problems stemmed from the phone</t>
    </r>
    <r>
      <rPr>
        <sz val="11"/>
        <color theme="1"/>
        <rFont val="Calibri"/>
        <family val="2"/>
        <scheme val="minor"/>
      </rPr>
      <t xml:space="preserve"> rather than the service itself.</t>
    </r>
  </si>
  <si>
    <r>
      <t xml:space="preserve">The seller was described as </t>
    </r>
    <r>
      <rPr>
        <b/>
        <sz val="11"/>
        <color theme="1"/>
        <rFont val="Calibri"/>
        <family val="2"/>
        <scheme val="minor"/>
      </rPr>
      <t>great and very helpful</t>
    </r>
    <r>
      <rPr>
        <sz val="11"/>
        <color theme="1"/>
        <rFont val="Calibri"/>
        <family val="2"/>
        <scheme val="minor"/>
      </rPr>
      <t xml:space="preserve"> by at least one user.</t>
    </r>
  </si>
  <si>
    <r>
      <t xml:space="preserve">Customer service seemed </t>
    </r>
    <r>
      <rPr>
        <b/>
        <sz val="11"/>
        <color theme="1"/>
        <rFont val="Calibri"/>
        <family val="2"/>
        <scheme val="minor"/>
      </rPr>
      <t>pretty friendly</t>
    </r>
    <r>
      <rPr>
        <sz val="11"/>
        <color theme="1"/>
        <rFont val="Calibri"/>
        <family val="2"/>
        <scheme val="minor"/>
      </rPr>
      <t>, according to another user.</t>
    </r>
  </si>
  <si>
    <r>
      <t xml:space="preserve">Some buyers expected better functionality from an </t>
    </r>
    <r>
      <rPr>
        <b/>
        <sz val="11"/>
        <color theme="1"/>
        <rFont val="Calibri"/>
        <family val="2"/>
        <scheme val="minor"/>
      </rPr>
      <t>Amazon Renewed product</t>
    </r>
    <r>
      <rPr>
        <sz val="11"/>
        <color theme="1"/>
        <rFont val="Calibri"/>
        <family val="2"/>
        <scheme val="minor"/>
      </rPr>
      <t>, leading to disappointment despite the service reputation.</t>
    </r>
  </si>
  <si>
    <r>
      <t xml:space="preserve">A user reported </t>
    </r>
    <r>
      <rPr>
        <b/>
        <sz val="11"/>
        <color theme="1"/>
        <rFont val="Calibri"/>
        <family val="2"/>
        <scheme val="minor"/>
      </rPr>
      <t>no responses from the seller</t>
    </r>
    <r>
      <rPr>
        <sz val="11"/>
        <color theme="1"/>
        <rFont val="Calibri"/>
        <family val="2"/>
        <scheme val="minor"/>
      </rPr>
      <t xml:space="preserve"> despite multiple attempts to contact them.</t>
    </r>
  </si>
  <si>
    <r>
      <t xml:space="preserve">A lack of </t>
    </r>
    <r>
      <rPr>
        <b/>
        <sz val="11"/>
        <color theme="1"/>
        <rFont val="Calibri"/>
        <family val="2"/>
        <scheme val="minor"/>
      </rPr>
      <t>warranty</t>
    </r>
    <r>
      <rPr>
        <sz val="11"/>
        <color theme="1"/>
        <rFont val="Calibri"/>
        <family val="2"/>
        <scheme val="minor"/>
      </rPr>
      <t xml:space="preserve"> prompted caution from a buyer, emphasizing "buyer beware."</t>
    </r>
  </si>
  <si>
    <r>
      <t xml:space="preserve">The need to </t>
    </r>
    <r>
      <rPr>
        <b/>
        <sz val="11"/>
        <color theme="1"/>
        <rFont val="Calibri"/>
        <family val="2"/>
        <scheme val="minor"/>
      </rPr>
      <t>return the product to Amazon</t>
    </r>
    <r>
      <rPr>
        <sz val="11"/>
        <color theme="1"/>
        <rFont val="Calibri"/>
        <family val="2"/>
        <scheme val="minor"/>
      </rPr>
      <t xml:space="preserve"> indicates dissatisfaction with the initial purchase experience.</t>
    </r>
  </si>
  <si>
    <r>
      <t>iPhone:</t>
    </r>
    <r>
      <rPr>
        <sz val="11"/>
        <color theme="1"/>
        <rFont val="Calibri"/>
        <family val="2"/>
        <scheme val="minor"/>
      </rPr>
      <t xml:space="preserve"> Some users described their iPhone experience as "so far, so good" or "great so far," appreciating the device's external condition.</t>
    </r>
  </si>
  <si>
    <r>
      <t>Samsung:</t>
    </r>
    <r>
      <rPr>
        <sz val="11"/>
        <color theme="1"/>
        <rFont val="Calibri"/>
        <family val="2"/>
        <scheme val="minor"/>
      </rPr>
      <t xml:space="preserve"> The A50 and M10 models were highlighted as meeting expectations and providing good performance.</t>
    </r>
  </si>
  <si>
    <r>
      <t>Android Devices:</t>
    </r>
    <r>
      <rPr>
        <sz val="11"/>
        <color theme="1"/>
        <rFont val="Calibri"/>
        <family val="2"/>
        <scheme val="minor"/>
      </rPr>
      <t xml:space="preserve"> Several users praised their phones for being </t>
    </r>
    <r>
      <rPr>
        <b/>
        <sz val="11"/>
        <color theme="1"/>
        <rFont val="Calibri"/>
        <family val="2"/>
        <scheme val="minor"/>
      </rPr>
      <t>great alternatives to iPhones</t>
    </r>
    <r>
      <rPr>
        <sz val="11"/>
        <color theme="1"/>
        <rFont val="Calibri"/>
        <family val="2"/>
        <scheme val="minor"/>
      </rPr>
      <t>, with Moto Mods receiving specific appreciation despite wishing for a broader selection.</t>
    </r>
  </si>
  <si>
    <r>
      <t>General Transition:</t>
    </r>
    <r>
      <rPr>
        <sz val="11"/>
        <color theme="1"/>
        <rFont val="Calibri"/>
        <family val="2"/>
        <scheme val="minor"/>
      </rPr>
      <t xml:space="preserve"> Users transitioning from older devices like the iPhone 5 or 7 Plus found these phones to be reliable replacements, noting improvements over aging Apple devices.</t>
    </r>
  </si>
  <si>
    <r>
      <t>Samsung Devices:</t>
    </r>
    <r>
      <rPr>
        <sz val="11"/>
        <color theme="1"/>
        <rFont val="Calibri"/>
        <family val="2"/>
        <scheme val="minor"/>
      </rPr>
      <t xml:space="preserve"> Some users noted that Samsung phones were not the latest models but still delivered acceptable performance. One user emphasized updates performed at the Samsung Store for proper functionality.</t>
    </r>
  </si>
  <si>
    <r>
      <t>iPhone Comparison:</t>
    </r>
    <r>
      <rPr>
        <sz val="11"/>
        <color theme="1"/>
        <rFont val="Calibri"/>
        <family val="2"/>
        <scheme val="minor"/>
      </rPr>
      <t xml:space="preserve"> A noticeable difference in processing power compared to iPhones was mentioned, though it did not detract from the overall satisfaction of the Android experience.</t>
    </r>
  </si>
  <si>
    <r>
      <t>iPhone Issues:</t>
    </r>
    <r>
      <rPr>
        <sz val="11"/>
        <color theme="1"/>
        <rFont val="Calibri"/>
        <family val="2"/>
        <scheme val="minor"/>
      </rPr>
      <t xml:space="preserve"> Serious internal issues with an iPhone were reported, including a faulty battery and non-functional Face ID.</t>
    </r>
  </si>
  <si>
    <r>
      <t>Samsung Issues:</t>
    </r>
    <r>
      <rPr>
        <sz val="11"/>
        <color theme="1"/>
        <rFont val="Calibri"/>
        <family val="2"/>
        <scheme val="minor"/>
      </rPr>
      <t xml:space="preserve"> Complaints arose about manipulated Samsung devices (e.g., Turkish software) that could not be fixed locally, leading to dissatisfaction.</t>
    </r>
  </si>
  <si>
    <r>
      <t>Model Confusion:</t>
    </r>
    <r>
      <rPr>
        <sz val="11"/>
        <color theme="1"/>
        <rFont val="Calibri"/>
        <family val="2"/>
        <scheme val="minor"/>
      </rPr>
      <t xml:space="preserve"> A user expressed frustration with incorrect model details during a support exchange process.</t>
    </r>
  </si>
  <si>
    <r>
      <t xml:space="preserve">The </t>
    </r>
    <r>
      <rPr>
        <b/>
        <sz val="11"/>
        <color theme="1"/>
        <rFont val="Calibri"/>
        <family val="2"/>
        <scheme val="minor"/>
      </rPr>
      <t>OnePlus Three</t>
    </r>
    <r>
      <rPr>
        <sz val="11"/>
        <color theme="1"/>
        <rFont val="Calibri"/>
        <family val="2"/>
        <scheme val="minor"/>
      </rPr>
      <t xml:space="preserve"> was appreciated for its </t>
    </r>
    <r>
      <rPr>
        <b/>
        <sz val="11"/>
        <color theme="1"/>
        <rFont val="Calibri"/>
        <family val="2"/>
        <scheme val="minor"/>
      </rPr>
      <t>smaller size</t>
    </r>
    <r>
      <rPr>
        <sz val="11"/>
        <color theme="1"/>
        <rFont val="Calibri"/>
        <family val="2"/>
        <scheme val="minor"/>
      </rPr>
      <t>, fast performance, and clean design free of bloatware.</t>
    </r>
  </si>
  <si>
    <r>
      <t xml:space="preserve">The phone's design was described as </t>
    </r>
    <r>
      <rPr>
        <b/>
        <sz val="11"/>
        <color theme="1"/>
        <rFont val="Calibri"/>
        <family val="2"/>
        <scheme val="minor"/>
      </rPr>
      <t>excellent</t>
    </r>
    <r>
      <rPr>
        <sz val="11"/>
        <color theme="1"/>
        <rFont val="Calibri"/>
        <family val="2"/>
        <scheme val="minor"/>
      </rPr>
      <t xml:space="preserve">, with a </t>
    </r>
    <r>
      <rPr>
        <b/>
        <sz val="11"/>
        <color theme="1"/>
        <rFont val="Calibri"/>
        <family val="2"/>
        <scheme val="minor"/>
      </rPr>
      <t>high-end product feel</t>
    </r>
    <r>
      <rPr>
        <sz val="11"/>
        <color theme="1"/>
        <rFont val="Calibri"/>
        <family val="2"/>
        <scheme val="minor"/>
      </rPr>
      <t>.</t>
    </r>
  </si>
  <si>
    <r>
      <t xml:space="preserve">Adjusting to design differences, such as the lack of a </t>
    </r>
    <r>
      <rPr>
        <b/>
        <sz val="11"/>
        <color theme="1"/>
        <rFont val="Calibri"/>
        <family val="2"/>
        <scheme val="minor"/>
      </rPr>
      <t>physical "back button"</t>
    </r>
    <r>
      <rPr>
        <sz val="11"/>
        <color theme="1"/>
        <rFont val="Calibri"/>
        <family val="2"/>
        <scheme val="minor"/>
      </rPr>
      <t>, was challenging for some users transitioning from older models like the S7.</t>
    </r>
  </si>
  <si>
    <t>No significant negative feedback on design and aesthetics was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</si>
</sst>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6"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s>
  <fills count="13">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0.249977111117893"/>
        <bgColor indexed="64"/>
      </patternFill>
    </fill>
  </fills>
  <borders count="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55">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0" borderId="0" xfId="0" applyAlignment="1">
      <alignment horizontal="right"/>
    </xf>
    <xf numFmtId="0" fontId="3" fillId="4" borderId="1" xfId="0" applyFont="1" applyFill="1" applyBorder="1" applyAlignment="1">
      <alignment horizontal="center" vertical="top"/>
    </xf>
    <xf numFmtId="164" fontId="0" fillId="0" borderId="0" xfId="0" applyNumberFormat="1" applyAlignment="1">
      <alignment horizontal="left"/>
    </xf>
    <xf numFmtId="165" fontId="0" fillId="0" borderId="0" xfId="0" applyNumberFormat="1"/>
    <xf numFmtId="0" fontId="0" fillId="7" borderId="0" xfId="0" applyFill="1"/>
    <xf numFmtId="166" fontId="0" fillId="7" borderId="0" xfId="0" applyNumberFormat="1" applyFill="1"/>
    <xf numFmtId="0" fontId="0" fillId="8" borderId="0" xfId="0" applyFill="1"/>
    <xf numFmtId="0" fontId="0" fillId="9" borderId="0" xfId="0" applyFill="1"/>
    <xf numFmtId="0" fontId="0" fillId="10" borderId="0" xfId="0" applyFill="1"/>
    <xf numFmtId="14" fontId="0" fillId="10" borderId="0" xfId="0" applyNumberFormat="1" applyFill="1"/>
    <xf numFmtId="9" fontId="0" fillId="10" borderId="0" xfId="1" applyFont="1" applyFill="1"/>
    <xf numFmtId="9" fontId="0" fillId="7" borderId="0" xfId="1" applyFont="1" applyFill="1"/>
    <xf numFmtId="0" fontId="3" fillId="0" borderId="0" xfId="0" applyFont="1" applyAlignment="1">
      <alignment horizontal="center" vertical="top"/>
    </xf>
    <xf numFmtId="0" fontId="0" fillId="0" borderId="0" xfId="0" applyAlignment="1">
      <alignment horizontal="left" vertical="center" wrapText="1"/>
    </xf>
    <xf numFmtId="0" fontId="0" fillId="0" borderId="0" xfId="0" applyAlignment="1">
      <alignment horizontal="center" vertical="center" wrapText="1"/>
    </xf>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horizontal="left" vertical="center" wrapText="1"/>
    </xf>
    <xf numFmtId="0" fontId="0" fillId="7" borderId="0" xfId="0" applyFill="1" applyAlignment="1">
      <alignment horizontal="center"/>
    </xf>
    <xf numFmtId="14" fontId="0" fillId="0" borderId="0" xfId="0" applyNumberFormat="1" applyAlignment="1">
      <alignment horizontal="center" vertical="center" wrapText="1"/>
    </xf>
    <xf numFmtId="0" fontId="1" fillId="0" borderId="0" xfId="0" applyFont="1" applyAlignment="1">
      <alignment horizontal="center" wrapText="1"/>
    </xf>
    <xf numFmtId="14" fontId="1" fillId="0" borderId="0" xfId="0" applyNumberFormat="1" applyFont="1" applyAlignment="1">
      <alignment horizontal="center" wrapText="1"/>
    </xf>
    <xf numFmtId="0" fontId="1" fillId="6" borderId="5" xfId="0" applyFont="1" applyFill="1" applyBorder="1"/>
    <xf numFmtId="0" fontId="0" fillId="0" borderId="0" xfId="0" pivotButton="1"/>
    <xf numFmtId="0" fontId="1" fillId="6" borderId="0" xfId="0" applyFont="1" applyFill="1"/>
    <xf numFmtId="0" fontId="0" fillId="11" borderId="0" xfId="0" applyFill="1"/>
    <xf numFmtId="0" fontId="0" fillId="11" borderId="2" xfId="0" applyFill="1" applyBorder="1" applyAlignment="1">
      <alignment horizontal="center"/>
    </xf>
    <xf numFmtId="0" fontId="0" fillId="12" borderId="0" xfId="0" applyFill="1"/>
    <xf numFmtId="0" fontId="0" fillId="0" borderId="4" xfId="0" applyFont="1" applyBorder="1"/>
    <xf numFmtId="0" fontId="0" fillId="0" borderId="2" xfId="0"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xf>
  </cellXfs>
  <cellStyles count="2">
    <cellStyle name="Normal" xfId="0" builtinId="0"/>
    <cellStyle name="Percent" xfId="1" builtinId="5"/>
  </cellStyles>
  <dxfs count="38">
    <dxf>
      <numFmt numFmtId="19" formatCode="dd/mm/yyyy"/>
    </dxf>
    <dxf>
      <numFmt numFmtId="164" formatCode="yyyy\-mm\-dd"/>
    </dxf>
    <dxf>
      <numFmt numFmtId="164" formatCode="yyyy\-mm\-dd"/>
    </dxf>
    <dxf>
      <numFmt numFmtId="164" formatCode="yyyy\-mm\-dd"/>
    </dxf>
    <dxf>
      <font>
        <b/>
        <i val="0"/>
        <strike val="0"/>
        <condense val="0"/>
        <extend val="0"/>
        <outline val="0"/>
        <shadow val="0"/>
        <u val="none"/>
        <vertAlign val="baseline"/>
        <sz val="11"/>
        <color auto="1"/>
        <name val="Calibri"/>
        <family val="2"/>
        <scheme val="none"/>
      </font>
      <fill>
        <patternFill patternType="solid">
          <fgColor theme="4"/>
          <bgColor theme="4"/>
        </patternFill>
      </fill>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fill>
        <patternFill patternType="solid">
          <fgColor theme="4"/>
          <bgColor theme="4"/>
        </patternFill>
      </fill>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70CD53"/>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calculation!$BK$15</c:f>
          <c:strCache>
            <c:ptCount val="1"/>
            <c:pt idx="0">
              <c:v>Trend Sentiment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calculation!$BQ$67</c:f>
              <c:strCache>
                <c:ptCount val="1"/>
                <c:pt idx="0">
                  <c:v>total sentiment</c:v>
                </c:pt>
              </c:strCache>
            </c:strRef>
          </c:tx>
          <c:spPr>
            <a:ln w="28575" cap="rnd">
              <a:solidFill>
                <a:schemeClr val="bg1">
                  <a:lumMod val="85000"/>
                </a:schemeClr>
              </a:solidFill>
              <a:prstDash val="solid"/>
              <a:round/>
            </a:ln>
            <a:effectLst/>
          </c:spPr>
          <c:marker>
            <c:symbol val="circle"/>
            <c:size val="5"/>
            <c:spPr>
              <a:solidFill>
                <a:schemeClr val="bg1">
                  <a:lumMod val="85000"/>
                </a:schemeClr>
              </a:solidFill>
              <a:ln w="9525">
                <a:solidFill>
                  <a:schemeClr val="bg1">
                    <a:lumMod val="85000"/>
                  </a:schemeClr>
                </a:solidFill>
              </a:ln>
              <a:effectLst/>
            </c:spPr>
          </c:marker>
          <c:dLbls>
            <c:dLbl>
              <c:idx val="0"/>
              <c:tx>
                <c:rich>
                  <a:bodyPr/>
                  <a:lstStyle/>
                  <a:p>
                    <a:fld id="{C367A90B-B5BB-490A-85BA-93BA819BBEA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F9F-43F8-BDE7-49C3348D238C}"/>
                </c:ext>
              </c:extLst>
            </c:dLbl>
            <c:dLbl>
              <c:idx val="1"/>
              <c:tx>
                <c:rich>
                  <a:bodyPr/>
                  <a:lstStyle/>
                  <a:p>
                    <a:fld id="{60324C9E-B83A-47CA-A091-60F4BC0EF51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9F-43F8-BDE7-49C3348D238C}"/>
                </c:ext>
              </c:extLst>
            </c:dLbl>
            <c:dLbl>
              <c:idx val="2"/>
              <c:tx>
                <c:rich>
                  <a:bodyPr/>
                  <a:lstStyle/>
                  <a:p>
                    <a:fld id="{A15A039B-DE95-415B-9091-9BB269717F2B}"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9F-43F8-BDE7-49C3348D238C}"/>
                </c:ext>
              </c:extLst>
            </c:dLbl>
            <c:dLbl>
              <c:idx val="3"/>
              <c:tx>
                <c:rich>
                  <a:bodyPr/>
                  <a:lstStyle/>
                  <a:p>
                    <a:fld id="{A500EF4C-0BC7-490B-A210-7B80761ECB42}"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9F-43F8-BDE7-49C3348D238C}"/>
                </c:ext>
              </c:extLst>
            </c:dLbl>
            <c:dLbl>
              <c:idx val="4"/>
              <c:tx>
                <c:rich>
                  <a:bodyPr/>
                  <a:lstStyle/>
                  <a:p>
                    <a:fld id="{E7B7855D-2BC1-4580-A71E-46CD6F4D159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9F-43F8-BDE7-49C3348D238C}"/>
                </c:ext>
              </c:extLst>
            </c:dLbl>
            <c:dLbl>
              <c:idx val="5"/>
              <c:tx>
                <c:rich>
                  <a:bodyPr/>
                  <a:lstStyle/>
                  <a:p>
                    <a:fld id="{686110F9-1794-40EC-89CA-3A48C456DDDF}"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9F-43F8-BDE7-49C3348D238C}"/>
                </c:ext>
              </c:extLst>
            </c:dLbl>
            <c:dLbl>
              <c:idx val="6"/>
              <c:tx>
                <c:rich>
                  <a:bodyPr/>
                  <a:lstStyle/>
                  <a:p>
                    <a:fld id="{8311229B-6687-45E1-8B13-5DF61AB2B69F}"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9F-43F8-BDE7-49C3348D238C}"/>
                </c:ext>
              </c:extLst>
            </c:dLbl>
            <c:dLbl>
              <c:idx val="7"/>
              <c:tx>
                <c:rich>
                  <a:bodyPr/>
                  <a:lstStyle/>
                  <a:p>
                    <a:fld id="{59B746D6-F586-4A49-936C-8BABA31DD9A4}"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9F-43F8-BDE7-49C3348D238C}"/>
                </c:ext>
              </c:extLst>
            </c:dLbl>
            <c:dLbl>
              <c:idx val="8"/>
              <c:tx>
                <c:rich>
                  <a:bodyPr/>
                  <a:lstStyle/>
                  <a:p>
                    <a:fld id="{E67DBB2E-B0E4-4F61-A5FB-09AF876994C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9F-43F8-BDE7-49C3348D238C}"/>
                </c:ext>
              </c:extLst>
            </c:dLbl>
            <c:dLbl>
              <c:idx val="9"/>
              <c:tx>
                <c:rich>
                  <a:bodyPr/>
                  <a:lstStyle/>
                  <a:p>
                    <a:fld id="{DA05E980-6F72-48B5-A103-4124ADC1989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9F-43F8-BDE7-49C3348D238C}"/>
                </c:ext>
              </c:extLst>
            </c:dLbl>
            <c:dLbl>
              <c:idx val="10"/>
              <c:tx>
                <c:rich>
                  <a:bodyPr/>
                  <a:lstStyle/>
                  <a:p>
                    <a:fld id="{CEC5F1FC-105D-4762-B166-196DD4F4B4D3}"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9F-43F8-BDE7-49C3348D238C}"/>
                </c:ext>
              </c:extLst>
            </c:dLbl>
            <c:dLbl>
              <c:idx val="11"/>
              <c:tx>
                <c:rich>
                  <a:bodyPr/>
                  <a:lstStyle/>
                  <a:p>
                    <a:fld id="{D471F366-C391-4228-9F36-0D41A39005CA}"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9F-43F8-BDE7-49C3348D238C}"/>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8F9F-43F8-BDE7-49C3348D238C}"/>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8F9F-43F8-BDE7-49C3348D238C}"/>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8F9F-43F8-BDE7-49C3348D238C}"/>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8F9F-43F8-BDE7-49C3348D238C}"/>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8F9F-43F8-BDE7-49C3348D238C}"/>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8F9F-43F8-BDE7-49C3348D238C}"/>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8F9F-43F8-BDE7-49C3348D238C}"/>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8F9F-43F8-BDE7-49C3348D238C}"/>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8F9F-43F8-BDE7-49C3348D238C}"/>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8F9F-43F8-BDE7-49C3348D238C}"/>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8F9F-43F8-BDE7-49C3348D238C}"/>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8F9F-43F8-BDE7-49C3348D238C}"/>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9F-43F8-BDE7-49C3348D238C}"/>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9F-43F8-BDE7-49C3348D238C}"/>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9F-43F8-BDE7-49C3348D238C}"/>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9F-43F8-BDE7-49C3348D238C}"/>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9F-43F8-BDE7-49C3348D238C}"/>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9F-43F8-BDE7-49C3348D238C}"/>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9F-43F8-BDE7-49C3348D238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calculation!$BQ$68:$BQ$98</c:f>
              <c:numCache>
                <c:formatCode>General</c:formatCode>
                <c:ptCount val="31"/>
                <c:pt idx="0">
                  <c:v>1</c:v>
                </c:pt>
                <c:pt idx="1">
                  <c:v>6</c:v>
                </c:pt>
                <c:pt idx="2">
                  <c:v>3</c:v>
                </c:pt>
                <c:pt idx="3">
                  <c:v>1</c:v>
                </c:pt>
                <c:pt idx="4">
                  <c:v>0</c:v>
                </c:pt>
                <c:pt idx="5">
                  <c:v>2</c:v>
                </c:pt>
                <c:pt idx="6">
                  <c:v>0</c:v>
                </c:pt>
                <c:pt idx="7">
                  <c:v>5</c:v>
                </c:pt>
                <c:pt idx="8">
                  <c:v>0</c:v>
                </c:pt>
                <c:pt idx="9">
                  <c:v>4</c:v>
                </c:pt>
                <c:pt idx="10">
                  <c:v>1</c:v>
                </c:pt>
                <c:pt idx="11">
                  <c:v>2</c:v>
                </c:pt>
              </c:numCache>
            </c:numRef>
          </c:val>
          <c:smooth val="0"/>
          <c:extLst>
            <c:ext xmlns:c15="http://schemas.microsoft.com/office/drawing/2012/chart" uri="{02D57815-91ED-43cb-92C2-25804820EDAC}">
              <c15:datalabelsRange>
                <c15:f>calculation!$BR$68:$BR$98</c15:f>
                <c15:dlblRangeCache>
                  <c:ptCount val="31"/>
                  <c:pt idx="0">
                    <c:v>1</c:v>
                  </c:pt>
                  <c:pt idx="1">
                    <c:v>6</c:v>
                  </c:pt>
                  <c:pt idx="2">
                    <c:v>3</c:v>
                  </c:pt>
                  <c:pt idx="3">
                    <c:v>1</c:v>
                  </c:pt>
                  <c:pt idx="5">
                    <c:v>2</c:v>
                  </c:pt>
                  <c:pt idx="7">
                    <c:v>5</c:v>
                  </c:pt>
                  <c:pt idx="9">
                    <c:v>4</c:v>
                  </c:pt>
                  <c:pt idx="10">
                    <c:v>1</c:v>
                  </c:pt>
                  <c:pt idx="11">
                    <c:v>2</c:v>
                  </c:pt>
                </c15:dlblRangeCache>
              </c15:datalabelsRange>
            </c:ext>
            <c:ext xmlns:c16="http://schemas.microsoft.com/office/drawing/2014/chart" uri="{C3380CC4-5D6E-409C-BE32-E72D297353CC}">
              <c16:uniqueId val="{0000001F-8F9F-43F8-BDE7-49C3348D238C}"/>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12700" cap="flat" cmpd="sng" algn="ctr">
            <a:solidFill>
              <a:schemeClr val="bg1">
                <a:lumMod val="95000"/>
              </a:schemeClr>
            </a:solidFill>
            <a:prstDash val="solid"/>
            <a:round/>
          </a:ln>
          <a:effectLst/>
        </c:spPr>
        <c:txPr>
          <a:bodyPr rot="-5400000" spcFirstLastPara="1" vertOverflow="ellipsis" wrap="square" anchor="t" anchorCtr="0"/>
          <a:lstStyle/>
          <a:p>
            <a:pPr>
              <a:defRPr sz="900" b="0" i="0" u="none" strike="noStrike" kern="1200" baseline="0">
                <a:ln>
                  <a:noFill/>
                </a:ln>
                <a:solidFill>
                  <a:schemeClr val="tx1"/>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calculation!$BM$67</c:f>
              <c:strCache>
                <c:ptCount val="1"/>
                <c:pt idx="0">
                  <c:v>positive</c:v>
                </c:pt>
              </c:strCache>
            </c:strRef>
          </c:tx>
          <c:spPr>
            <a:solidFill>
              <a:srgbClr val="70CD53"/>
            </a:solidFill>
            <a:ln>
              <a:noFill/>
            </a:ln>
            <a:effectLst/>
          </c:spPr>
          <c:invertIfNegative val="0"/>
          <c:dLbls>
            <c:dLbl>
              <c:idx val="0"/>
              <c:tx>
                <c:rich>
                  <a:bodyPr/>
                  <a:lstStyle/>
                  <a:p>
                    <a:fld id="{69A08CDC-F041-4B49-87D0-99227ACCDC1D}"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48E-448C-B826-0CF7FF08DA4A}"/>
                </c:ext>
              </c:extLst>
            </c:dLbl>
            <c:dLbl>
              <c:idx val="1"/>
              <c:tx>
                <c:rich>
                  <a:bodyPr/>
                  <a:lstStyle/>
                  <a:p>
                    <a:fld id="{BFA0B170-5B44-4CFF-AE8F-1D4001A74558}"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48E-448C-B826-0CF7FF08DA4A}"/>
                </c:ext>
              </c:extLst>
            </c:dLbl>
            <c:dLbl>
              <c:idx val="2"/>
              <c:tx>
                <c:rich>
                  <a:bodyPr/>
                  <a:lstStyle/>
                  <a:p>
                    <a:fld id="{E37FA8BB-0455-4F3E-B3F3-46FB472BA067}"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48E-448C-B826-0CF7FF08DA4A}"/>
                </c:ext>
              </c:extLst>
            </c:dLbl>
            <c:dLbl>
              <c:idx val="3"/>
              <c:tx>
                <c:rich>
                  <a:bodyPr/>
                  <a:lstStyle/>
                  <a:p>
                    <a:fld id="{F754A2BA-DA89-48EB-A1BC-89366B7197A0}"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48E-448C-B826-0CF7FF08DA4A}"/>
                </c:ext>
              </c:extLst>
            </c:dLbl>
            <c:dLbl>
              <c:idx val="4"/>
              <c:tx>
                <c:rich>
                  <a:bodyPr/>
                  <a:lstStyle/>
                  <a:p>
                    <a:fld id="{6E114AE5-1BBA-436A-B2CC-96B63371F241}"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48E-448C-B826-0CF7FF08DA4A}"/>
                </c:ext>
              </c:extLst>
            </c:dLbl>
            <c:dLbl>
              <c:idx val="5"/>
              <c:tx>
                <c:rich>
                  <a:bodyPr/>
                  <a:lstStyle/>
                  <a:p>
                    <a:fld id="{F576BFB5-4687-467F-977A-DF67D5924FED}"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48E-448C-B826-0CF7FF08DA4A}"/>
                </c:ext>
              </c:extLst>
            </c:dLbl>
            <c:dLbl>
              <c:idx val="6"/>
              <c:tx>
                <c:rich>
                  <a:bodyPr/>
                  <a:lstStyle/>
                  <a:p>
                    <a:fld id="{86ED58D4-02F9-4617-BF5E-B098BD78DAA2}"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48E-448C-B826-0CF7FF08DA4A}"/>
                </c:ext>
              </c:extLst>
            </c:dLbl>
            <c:dLbl>
              <c:idx val="7"/>
              <c:tx>
                <c:rich>
                  <a:bodyPr/>
                  <a:lstStyle/>
                  <a:p>
                    <a:fld id="{68E627B2-9FFA-42E6-9714-7A73F5E3001A}"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48E-448C-B826-0CF7FF08DA4A}"/>
                </c:ext>
              </c:extLst>
            </c:dLbl>
            <c:dLbl>
              <c:idx val="8"/>
              <c:tx>
                <c:rich>
                  <a:bodyPr/>
                  <a:lstStyle/>
                  <a:p>
                    <a:fld id="{9921C876-0B56-4BF3-92D6-5073E32B3D42}"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48E-448C-B826-0CF7FF08DA4A}"/>
                </c:ext>
              </c:extLst>
            </c:dLbl>
            <c:dLbl>
              <c:idx val="9"/>
              <c:tx>
                <c:rich>
                  <a:bodyPr/>
                  <a:lstStyle/>
                  <a:p>
                    <a:fld id="{C846EE7E-8CEB-4353-AE2E-7DCEEA7AB181}"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48E-448C-B826-0CF7FF08DA4A}"/>
                </c:ext>
              </c:extLst>
            </c:dLbl>
            <c:dLbl>
              <c:idx val="10"/>
              <c:tx>
                <c:rich>
                  <a:bodyPr/>
                  <a:lstStyle/>
                  <a:p>
                    <a:fld id="{CD3217B8-9A19-4262-A60D-F82349ABDED2}"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48E-448C-B826-0CF7FF08DA4A}"/>
                </c:ext>
              </c:extLst>
            </c:dLbl>
            <c:dLbl>
              <c:idx val="11"/>
              <c:tx>
                <c:rich>
                  <a:bodyPr/>
                  <a:lstStyle/>
                  <a:p>
                    <a:fld id="{44A656BA-B085-43D9-B6A0-FE5ADD0C7691}"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calculation!$BM$68:$BM$98</c:f>
              <c:numCache>
                <c:formatCode>General</c:formatCode>
                <c:ptCount val="31"/>
                <c:pt idx="0">
                  <c:v>0</c:v>
                </c:pt>
                <c:pt idx="1">
                  <c:v>3</c:v>
                </c:pt>
                <c:pt idx="2">
                  <c:v>2</c:v>
                </c:pt>
                <c:pt idx="3">
                  <c:v>1</c:v>
                </c:pt>
                <c:pt idx="4">
                  <c:v>0</c:v>
                </c:pt>
                <c:pt idx="5">
                  <c:v>2</c:v>
                </c:pt>
                <c:pt idx="6">
                  <c:v>0</c:v>
                </c:pt>
                <c:pt idx="7">
                  <c:v>0</c:v>
                </c:pt>
                <c:pt idx="8">
                  <c:v>0</c:v>
                </c:pt>
                <c:pt idx="9">
                  <c:v>2</c:v>
                </c:pt>
                <c:pt idx="10">
                  <c:v>0</c:v>
                </c:pt>
                <c:pt idx="11">
                  <c:v>0</c:v>
                </c:pt>
              </c:numCache>
            </c:numRef>
          </c:val>
          <c:extLst>
            <c:ext xmlns:c15="http://schemas.microsoft.com/office/drawing/2012/chart" uri="{02D57815-91ED-43cb-92C2-25804820EDAC}">
              <c15:datalabelsRange>
                <c15:f>calculation!$BS$68:$BS$98</c15:f>
                <c15:dlblRangeCache>
                  <c:ptCount val="31"/>
                  <c:pt idx="1">
                    <c:v>50%</c:v>
                  </c:pt>
                  <c:pt idx="2">
                    <c:v>67%</c:v>
                  </c:pt>
                  <c:pt idx="3">
                    <c:v>100%</c:v>
                  </c:pt>
                  <c:pt idx="5">
                    <c:v>100%</c:v>
                  </c:pt>
                  <c:pt idx="9">
                    <c:v>50%</c:v>
                  </c:pt>
                </c15:dlblRangeCache>
              </c15:datalabelsRange>
            </c:ext>
            <c:ext xmlns:c16="http://schemas.microsoft.com/office/drawing/2014/chart" uri="{C3380CC4-5D6E-409C-BE32-E72D297353CC}">
              <c16:uniqueId val="{0000001F-D48E-448C-B826-0CF7FF08DA4A}"/>
            </c:ext>
          </c:extLst>
        </c:ser>
        <c:ser>
          <c:idx val="1"/>
          <c:order val="1"/>
          <c:tx>
            <c:strRef>
              <c:f>calculation!$BN$67</c:f>
              <c:strCache>
                <c:ptCount val="1"/>
                <c:pt idx="0">
                  <c:v>neutral</c:v>
                </c:pt>
              </c:strCache>
            </c:strRef>
          </c:tx>
          <c:spPr>
            <a:solidFill>
              <a:srgbClr val="F8F200"/>
            </a:solidFill>
            <a:ln>
              <a:noFill/>
            </a:ln>
            <a:effectLst/>
          </c:spPr>
          <c:invertIfNegative val="0"/>
          <c:dLbls>
            <c:dLbl>
              <c:idx val="0"/>
              <c:tx>
                <c:rich>
                  <a:bodyPr/>
                  <a:lstStyle/>
                  <a:p>
                    <a:fld id="{FABE4EBF-6BBD-4090-A6B4-14380D5F09DA}"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D48E-448C-B826-0CF7FF08DA4A}"/>
                </c:ext>
              </c:extLst>
            </c:dLbl>
            <c:dLbl>
              <c:idx val="1"/>
              <c:tx>
                <c:rich>
                  <a:bodyPr/>
                  <a:lstStyle/>
                  <a:p>
                    <a:fld id="{487F2414-363A-4D7A-9B6F-E2E43DD64C78}"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48E-448C-B826-0CF7FF08DA4A}"/>
                </c:ext>
              </c:extLst>
            </c:dLbl>
            <c:dLbl>
              <c:idx val="2"/>
              <c:tx>
                <c:rich>
                  <a:bodyPr/>
                  <a:lstStyle/>
                  <a:p>
                    <a:fld id="{35869E5F-3912-41DA-A43E-186BE9639B36}"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D48E-448C-B826-0CF7FF08DA4A}"/>
                </c:ext>
              </c:extLst>
            </c:dLbl>
            <c:dLbl>
              <c:idx val="3"/>
              <c:tx>
                <c:rich>
                  <a:bodyPr/>
                  <a:lstStyle/>
                  <a:p>
                    <a:fld id="{62DA9289-FE52-4891-93E3-23AAE85B07A0}"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48E-448C-B826-0CF7FF08DA4A}"/>
                </c:ext>
              </c:extLst>
            </c:dLbl>
            <c:dLbl>
              <c:idx val="4"/>
              <c:tx>
                <c:rich>
                  <a:bodyPr/>
                  <a:lstStyle/>
                  <a:p>
                    <a:fld id="{07D10BBE-DE5E-4AEB-91EA-B86B52A86191}"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D48E-448C-B826-0CF7FF08DA4A}"/>
                </c:ext>
              </c:extLst>
            </c:dLbl>
            <c:dLbl>
              <c:idx val="5"/>
              <c:tx>
                <c:rich>
                  <a:bodyPr/>
                  <a:lstStyle/>
                  <a:p>
                    <a:fld id="{AEBF9C24-2E15-4670-92D6-29314EB41B4A}"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48E-448C-B826-0CF7FF08DA4A}"/>
                </c:ext>
              </c:extLst>
            </c:dLbl>
            <c:dLbl>
              <c:idx val="6"/>
              <c:tx>
                <c:rich>
                  <a:bodyPr/>
                  <a:lstStyle/>
                  <a:p>
                    <a:fld id="{6F8731CE-1922-499A-B063-BAE2D85AFF5D}"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D48E-448C-B826-0CF7FF08DA4A}"/>
                </c:ext>
              </c:extLst>
            </c:dLbl>
            <c:dLbl>
              <c:idx val="7"/>
              <c:tx>
                <c:rich>
                  <a:bodyPr/>
                  <a:lstStyle/>
                  <a:p>
                    <a:fld id="{ADCA4AA1-A72A-4AFD-938A-FB20FBDE6EDA}"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D48E-448C-B826-0CF7FF08DA4A}"/>
                </c:ext>
              </c:extLst>
            </c:dLbl>
            <c:dLbl>
              <c:idx val="8"/>
              <c:tx>
                <c:rich>
                  <a:bodyPr/>
                  <a:lstStyle/>
                  <a:p>
                    <a:fld id="{B05AE354-9472-4DF4-ACE2-E48E822AFC72}"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D48E-448C-B826-0CF7FF08DA4A}"/>
                </c:ext>
              </c:extLst>
            </c:dLbl>
            <c:dLbl>
              <c:idx val="9"/>
              <c:tx>
                <c:rich>
                  <a:bodyPr/>
                  <a:lstStyle/>
                  <a:p>
                    <a:fld id="{A2A5DECE-1300-4692-A099-739769D1FB6C}"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D48E-448C-B826-0CF7FF08DA4A}"/>
                </c:ext>
              </c:extLst>
            </c:dLbl>
            <c:dLbl>
              <c:idx val="10"/>
              <c:tx>
                <c:rich>
                  <a:bodyPr/>
                  <a:lstStyle/>
                  <a:p>
                    <a:fld id="{B45D23EB-CADA-4145-9094-8370BB16C58A}"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D48E-448C-B826-0CF7FF08DA4A}"/>
                </c:ext>
              </c:extLst>
            </c:dLbl>
            <c:dLbl>
              <c:idx val="11"/>
              <c:tx>
                <c:rich>
                  <a:bodyPr/>
                  <a:lstStyle/>
                  <a:p>
                    <a:fld id="{E922DBF7-08AC-4118-8887-46C3209DD907}"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calculation!$BN$68:$BN$98</c:f>
              <c:numCache>
                <c:formatCode>General</c:formatCode>
                <c:ptCount val="31"/>
                <c:pt idx="0">
                  <c:v>0</c:v>
                </c:pt>
                <c:pt idx="1">
                  <c:v>0</c:v>
                </c:pt>
                <c:pt idx="2">
                  <c:v>0</c:v>
                </c:pt>
                <c:pt idx="3">
                  <c:v>0</c:v>
                </c:pt>
                <c:pt idx="4">
                  <c:v>0</c:v>
                </c:pt>
                <c:pt idx="5">
                  <c:v>0</c:v>
                </c:pt>
                <c:pt idx="6">
                  <c:v>0</c:v>
                </c:pt>
                <c:pt idx="7">
                  <c:v>1</c:v>
                </c:pt>
                <c:pt idx="8">
                  <c:v>0</c:v>
                </c:pt>
                <c:pt idx="9">
                  <c:v>0</c:v>
                </c:pt>
                <c:pt idx="10">
                  <c:v>0</c:v>
                </c:pt>
                <c:pt idx="11">
                  <c:v>0</c:v>
                </c:pt>
              </c:numCache>
            </c:numRef>
          </c:val>
          <c:extLst>
            <c:ext xmlns:c15="http://schemas.microsoft.com/office/drawing/2012/chart" uri="{02D57815-91ED-43cb-92C2-25804820EDAC}">
              <c15:datalabelsRange>
                <c15:f>calculation!$BT$68:$BT$98</c15:f>
                <c15:dlblRangeCache>
                  <c:ptCount val="31"/>
                  <c:pt idx="7">
                    <c:v>20%</c:v>
                  </c:pt>
                </c15:dlblRangeCache>
              </c15:datalabelsRange>
            </c:ext>
            <c:ext xmlns:c16="http://schemas.microsoft.com/office/drawing/2014/chart" uri="{C3380CC4-5D6E-409C-BE32-E72D297353CC}">
              <c16:uniqueId val="{0000003F-D48E-448C-B826-0CF7FF08DA4A}"/>
            </c:ext>
          </c:extLst>
        </c:ser>
        <c:ser>
          <c:idx val="2"/>
          <c:order val="2"/>
          <c:tx>
            <c:strRef>
              <c:f>calculation!$BO$67</c:f>
              <c:strCache>
                <c:ptCount val="1"/>
                <c:pt idx="0">
                  <c:v>negative</c:v>
                </c:pt>
              </c:strCache>
            </c:strRef>
          </c:tx>
          <c:spPr>
            <a:solidFill>
              <a:srgbClr val="C00000"/>
            </a:solidFill>
            <a:ln>
              <a:noFill/>
            </a:ln>
            <a:effectLst/>
          </c:spPr>
          <c:invertIfNegative val="0"/>
          <c:dLbls>
            <c:dLbl>
              <c:idx val="0"/>
              <c:tx>
                <c:rich>
                  <a:bodyPr/>
                  <a:lstStyle/>
                  <a:p>
                    <a:fld id="{3004B435-C403-4DC4-9DEE-838F0ED7ABAE}"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0-D48E-448C-B826-0CF7FF08DA4A}"/>
                </c:ext>
              </c:extLst>
            </c:dLbl>
            <c:dLbl>
              <c:idx val="1"/>
              <c:tx>
                <c:rich>
                  <a:bodyPr/>
                  <a:lstStyle/>
                  <a:p>
                    <a:fld id="{96C28124-6A0E-4893-8B00-4BC8F469DAD9}"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48E-448C-B826-0CF7FF08DA4A}"/>
                </c:ext>
              </c:extLst>
            </c:dLbl>
            <c:dLbl>
              <c:idx val="2"/>
              <c:tx>
                <c:rich>
                  <a:bodyPr/>
                  <a:lstStyle/>
                  <a:p>
                    <a:fld id="{83153EA2-8E73-4DB2-B6FE-B52181864A00}"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D48E-448C-B826-0CF7FF08DA4A}"/>
                </c:ext>
              </c:extLst>
            </c:dLbl>
            <c:dLbl>
              <c:idx val="3"/>
              <c:tx>
                <c:rich>
                  <a:bodyPr/>
                  <a:lstStyle/>
                  <a:p>
                    <a:fld id="{072A78A5-D023-4979-80F8-52988A2476CC}"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D48E-448C-B826-0CF7FF08DA4A}"/>
                </c:ext>
              </c:extLst>
            </c:dLbl>
            <c:dLbl>
              <c:idx val="4"/>
              <c:tx>
                <c:rich>
                  <a:bodyPr/>
                  <a:lstStyle/>
                  <a:p>
                    <a:fld id="{3E6B7CBB-BB57-4917-911A-B6FF0F5F2A65}"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D48E-448C-B826-0CF7FF08DA4A}"/>
                </c:ext>
              </c:extLst>
            </c:dLbl>
            <c:dLbl>
              <c:idx val="5"/>
              <c:tx>
                <c:rich>
                  <a:bodyPr/>
                  <a:lstStyle/>
                  <a:p>
                    <a:fld id="{E8BE500E-8149-4E8F-BFEF-4EA666C86996}"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D48E-448C-B826-0CF7FF08DA4A}"/>
                </c:ext>
              </c:extLst>
            </c:dLbl>
            <c:dLbl>
              <c:idx val="6"/>
              <c:tx>
                <c:rich>
                  <a:bodyPr/>
                  <a:lstStyle/>
                  <a:p>
                    <a:fld id="{BD729DEF-40F0-48F1-854B-26F6833C06F0}"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D48E-448C-B826-0CF7FF08DA4A}"/>
                </c:ext>
              </c:extLst>
            </c:dLbl>
            <c:dLbl>
              <c:idx val="7"/>
              <c:tx>
                <c:rich>
                  <a:bodyPr/>
                  <a:lstStyle/>
                  <a:p>
                    <a:fld id="{6531AAF3-6E85-470A-B507-6CCB20699CC8}"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D48E-448C-B826-0CF7FF08DA4A}"/>
                </c:ext>
              </c:extLst>
            </c:dLbl>
            <c:dLbl>
              <c:idx val="8"/>
              <c:tx>
                <c:rich>
                  <a:bodyPr/>
                  <a:lstStyle/>
                  <a:p>
                    <a:fld id="{8A66856A-58B9-44B4-A08D-5AE8B476D87E}"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D48E-448C-B826-0CF7FF08DA4A}"/>
                </c:ext>
              </c:extLst>
            </c:dLbl>
            <c:dLbl>
              <c:idx val="9"/>
              <c:tx>
                <c:rich>
                  <a:bodyPr/>
                  <a:lstStyle/>
                  <a:p>
                    <a:fld id="{E64C09AC-16FD-40D4-AB3A-7B5D73559235}"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D48E-448C-B826-0CF7FF08DA4A}"/>
                </c:ext>
              </c:extLst>
            </c:dLbl>
            <c:dLbl>
              <c:idx val="10"/>
              <c:tx>
                <c:rich>
                  <a:bodyPr/>
                  <a:lstStyle/>
                  <a:p>
                    <a:fld id="{753A6808-D5D3-4DAD-B509-BFE46D3927E3}"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D48E-448C-B826-0CF7FF08DA4A}"/>
                </c:ext>
              </c:extLst>
            </c:dLbl>
            <c:dLbl>
              <c:idx val="11"/>
              <c:tx>
                <c:rich>
                  <a:bodyPr/>
                  <a:lstStyle/>
                  <a:p>
                    <a:fld id="{DC10D2F1-C247-451E-B9A9-0C2376402D8F}"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calculation!$BO$68:$BO$98</c:f>
              <c:numCache>
                <c:formatCode>General</c:formatCode>
                <c:ptCount val="31"/>
                <c:pt idx="0">
                  <c:v>1</c:v>
                </c:pt>
                <c:pt idx="1">
                  <c:v>3</c:v>
                </c:pt>
                <c:pt idx="2">
                  <c:v>1</c:v>
                </c:pt>
                <c:pt idx="3">
                  <c:v>0</c:v>
                </c:pt>
                <c:pt idx="4">
                  <c:v>0</c:v>
                </c:pt>
                <c:pt idx="5">
                  <c:v>0</c:v>
                </c:pt>
                <c:pt idx="6">
                  <c:v>0</c:v>
                </c:pt>
                <c:pt idx="7">
                  <c:v>4</c:v>
                </c:pt>
                <c:pt idx="8">
                  <c:v>0</c:v>
                </c:pt>
                <c:pt idx="9">
                  <c:v>2</c:v>
                </c:pt>
                <c:pt idx="10">
                  <c:v>1</c:v>
                </c:pt>
                <c:pt idx="11">
                  <c:v>2</c:v>
                </c:pt>
              </c:numCache>
            </c:numRef>
          </c:val>
          <c:extLst>
            <c:ext xmlns:c15="http://schemas.microsoft.com/office/drawing/2012/chart" uri="{02D57815-91ED-43cb-92C2-25804820EDAC}">
              <c15:datalabelsRange>
                <c15:f>calculation!$BU$68:$BU$98</c15:f>
                <c15:dlblRangeCache>
                  <c:ptCount val="31"/>
                  <c:pt idx="0">
                    <c:v>100%</c:v>
                  </c:pt>
                  <c:pt idx="1">
                    <c:v>50%</c:v>
                  </c:pt>
                  <c:pt idx="2">
                    <c:v>33%</c:v>
                  </c:pt>
                  <c:pt idx="7">
                    <c:v>80%</c:v>
                  </c:pt>
                  <c:pt idx="9">
                    <c:v>50%</c:v>
                  </c:pt>
                  <c:pt idx="10">
                    <c:v>100%</c:v>
                  </c:pt>
                  <c:pt idx="11">
                    <c:v>100%</c:v>
                  </c:pt>
                </c15:dlblRangeCache>
              </c15:datalabelsRange>
            </c:ext>
            <c:ext xmlns:c16="http://schemas.microsoft.com/office/drawing/2014/chart" uri="{C3380CC4-5D6E-409C-BE32-E72D297353CC}">
              <c16:uniqueId val="{0000005F-D48E-448C-B826-0CF7FF08DA4A}"/>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calculation!$BQ$67</c:f>
              <c:strCache>
                <c:ptCount val="1"/>
                <c:pt idx="0">
                  <c:v>total sentiment</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calculation!$BV$68:$BV$98</c:f>
              <c:numCache>
                <c:formatCode>0%</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smooth val="0"/>
          <c:extLst>
            <c:ext xmlns:c16="http://schemas.microsoft.com/office/drawing/2014/chart" uri="{C3380CC4-5D6E-409C-BE32-E72D297353CC}">
              <c16:uniqueId val="{00000060-D48E-448C-B826-0CF7FF08DA4A}"/>
            </c:ext>
          </c:extLst>
        </c:ser>
        <c:ser>
          <c:idx val="4"/>
          <c:order val="4"/>
          <c:tx>
            <c:v>total</c:v>
          </c:tx>
          <c:spPr>
            <a:ln w="28575" cap="rnd">
              <a:noFill/>
              <a:round/>
            </a:ln>
            <a:effectLst/>
          </c:spPr>
          <c:marker>
            <c:symbol val="circle"/>
            <c:size val="5"/>
            <c:spPr>
              <a:noFill/>
              <a:ln w="9525">
                <a:noFill/>
              </a:ln>
              <a:effectLst/>
            </c:spPr>
          </c:marker>
          <c:dLbls>
            <c:dLbl>
              <c:idx val="0"/>
              <c:tx>
                <c:rich>
                  <a:bodyPr/>
                  <a:lstStyle/>
                  <a:p>
                    <a:fld id="{F9BE3EF0-7DE8-4C44-8559-30D596476028}"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753-4521-8460-50BBBC899A85}"/>
                </c:ext>
              </c:extLst>
            </c:dLbl>
            <c:dLbl>
              <c:idx val="1"/>
              <c:tx>
                <c:rich>
                  <a:bodyPr/>
                  <a:lstStyle/>
                  <a:p>
                    <a:fld id="{88BB159D-E000-4604-9F99-2FECAFBCF1E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753-4521-8460-50BBBC899A85}"/>
                </c:ext>
              </c:extLst>
            </c:dLbl>
            <c:dLbl>
              <c:idx val="2"/>
              <c:tx>
                <c:rich>
                  <a:bodyPr/>
                  <a:lstStyle/>
                  <a:p>
                    <a:fld id="{C36AD14E-539B-414C-A65B-27D93C37715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753-4521-8460-50BBBC899A85}"/>
                </c:ext>
              </c:extLst>
            </c:dLbl>
            <c:dLbl>
              <c:idx val="3"/>
              <c:tx>
                <c:rich>
                  <a:bodyPr/>
                  <a:lstStyle/>
                  <a:p>
                    <a:fld id="{3EAD3ABB-51D6-48E3-8A37-0E9F1200681A}"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753-4521-8460-50BBBC899A85}"/>
                </c:ext>
              </c:extLst>
            </c:dLbl>
            <c:dLbl>
              <c:idx val="4"/>
              <c:tx>
                <c:rich>
                  <a:bodyPr/>
                  <a:lstStyle/>
                  <a:p>
                    <a:fld id="{156C9912-73BF-4946-B355-3301576BDE3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753-4521-8460-50BBBC899A85}"/>
                </c:ext>
              </c:extLst>
            </c:dLbl>
            <c:dLbl>
              <c:idx val="5"/>
              <c:tx>
                <c:rich>
                  <a:bodyPr/>
                  <a:lstStyle/>
                  <a:p>
                    <a:fld id="{BA613BC0-DBEB-45C6-A961-519D9DFF2829}"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753-4521-8460-50BBBC899A85}"/>
                </c:ext>
              </c:extLst>
            </c:dLbl>
            <c:dLbl>
              <c:idx val="6"/>
              <c:tx>
                <c:rich>
                  <a:bodyPr/>
                  <a:lstStyle/>
                  <a:p>
                    <a:fld id="{AAE98681-7185-44EC-B66E-D7CBF3D95F90}"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753-4521-8460-50BBBC899A85}"/>
                </c:ext>
              </c:extLst>
            </c:dLbl>
            <c:dLbl>
              <c:idx val="7"/>
              <c:tx>
                <c:rich>
                  <a:bodyPr/>
                  <a:lstStyle/>
                  <a:p>
                    <a:fld id="{DFAABDFD-5988-4188-B550-FDB79ED554FC}"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753-4521-8460-50BBBC899A85}"/>
                </c:ext>
              </c:extLst>
            </c:dLbl>
            <c:dLbl>
              <c:idx val="8"/>
              <c:tx>
                <c:rich>
                  <a:bodyPr/>
                  <a:lstStyle/>
                  <a:p>
                    <a:fld id="{CF75BC14-AF03-44B5-95E7-D9EBC2270A3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753-4521-8460-50BBBC899A85}"/>
                </c:ext>
              </c:extLst>
            </c:dLbl>
            <c:dLbl>
              <c:idx val="9"/>
              <c:tx>
                <c:rich>
                  <a:bodyPr/>
                  <a:lstStyle/>
                  <a:p>
                    <a:fld id="{E39B15E1-BCD6-467E-8988-28F961645ABD}"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753-4521-8460-50BBBC899A85}"/>
                </c:ext>
              </c:extLst>
            </c:dLbl>
            <c:dLbl>
              <c:idx val="10"/>
              <c:tx>
                <c:rich>
                  <a:bodyPr/>
                  <a:lstStyle/>
                  <a:p>
                    <a:fld id="{A7ED255B-F6AD-48A3-8B06-888F1AE9BAF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753-4521-8460-50BBBC899A85}"/>
                </c:ext>
              </c:extLst>
            </c:dLbl>
            <c:dLbl>
              <c:idx val="11"/>
              <c:tx>
                <c:rich>
                  <a:bodyPr/>
                  <a:lstStyle/>
                  <a:p>
                    <a:fld id="{11E3C9A0-AB6B-455C-9A31-C66CA77DBD80}"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753-4521-8460-50BBBC899A85}"/>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1753-4521-8460-50BBBC899A85}"/>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1753-4521-8460-50BBBC899A85}"/>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1753-4521-8460-50BBBC899A85}"/>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1753-4521-8460-50BBBC899A85}"/>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1753-4521-8460-50BBBC899A85}"/>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1753-4521-8460-50BBBC899A85}"/>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1753-4521-8460-50BBBC899A85}"/>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1753-4521-8460-50BBBC899A85}"/>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1753-4521-8460-50BBBC899A85}"/>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1753-4521-8460-50BBBC899A85}"/>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1753-4521-8460-50BBBC899A85}"/>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1753-4521-8460-50BBBC899A85}"/>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1753-4521-8460-50BBBC899A85}"/>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1753-4521-8460-50BBBC899A85}"/>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1753-4521-8460-50BBBC899A85}"/>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1753-4521-8460-50BBBC899A85}"/>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1753-4521-8460-50BBBC899A85}"/>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1753-4521-8460-50BBBC899A85}"/>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1753-4521-8460-50BBBC899A8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calculation!$BP$68:$BP$98</c:f>
              <c:numCache>
                <c:formatCode>General</c:formatCode>
                <c:ptCount val="31"/>
                <c:pt idx="0">
                  <c:v>1</c:v>
                </c:pt>
                <c:pt idx="1">
                  <c:v>6</c:v>
                </c:pt>
                <c:pt idx="2">
                  <c:v>3</c:v>
                </c:pt>
                <c:pt idx="3">
                  <c:v>1</c:v>
                </c:pt>
                <c:pt idx="4">
                  <c:v>0</c:v>
                </c:pt>
                <c:pt idx="5">
                  <c:v>2</c:v>
                </c:pt>
                <c:pt idx="6">
                  <c:v>0</c:v>
                </c:pt>
                <c:pt idx="7">
                  <c:v>5</c:v>
                </c:pt>
                <c:pt idx="8">
                  <c:v>0</c:v>
                </c:pt>
                <c:pt idx="9">
                  <c:v>4</c:v>
                </c:pt>
                <c:pt idx="10">
                  <c:v>1</c:v>
                </c:pt>
                <c:pt idx="11">
                  <c:v>2</c:v>
                </c:pt>
              </c:numCache>
            </c:numRef>
          </c:val>
          <c:smooth val="0"/>
          <c:extLst>
            <c:ext xmlns:c15="http://schemas.microsoft.com/office/drawing/2012/chart" uri="{02D57815-91ED-43cb-92C2-25804820EDAC}">
              <c15:datalabelsRange>
                <c15:f>calculation!$BP$68:$BP$98</c15:f>
                <c15:dlblRangeCache>
                  <c:ptCount val="31"/>
                  <c:pt idx="0">
                    <c:v>1</c:v>
                  </c:pt>
                  <c:pt idx="1">
                    <c:v>6</c:v>
                  </c:pt>
                  <c:pt idx="2">
                    <c:v>3</c:v>
                  </c:pt>
                  <c:pt idx="3">
                    <c:v>1</c:v>
                  </c:pt>
                  <c:pt idx="5">
                    <c:v>2</c:v>
                  </c:pt>
                  <c:pt idx="7">
                    <c:v>5</c:v>
                  </c:pt>
                  <c:pt idx="9">
                    <c:v>4</c:v>
                  </c:pt>
                  <c:pt idx="10">
                    <c:v>1</c:v>
                  </c:pt>
                  <c:pt idx="11">
                    <c:v>2</c:v>
                  </c:pt>
                </c15:dlblRangeCache>
              </c15:datalabelsRange>
            </c:ext>
            <c:ext xmlns:c16="http://schemas.microsoft.com/office/drawing/2014/chart" uri="{C3380CC4-5D6E-409C-BE32-E72D297353CC}">
              <c16:uniqueId val="{00000062-D48E-448C-B826-0CF7FF08DA4A}"/>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calculation!$AX$5</c:f>
          <c:strCache>
            <c:ptCount val="1"/>
            <c:pt idx="0">
              <c:v>Distribution Topic During Selected Period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009444149998905"/>
          <c:y val="0.11552411917629915"/>
          <c:w val="0.74605117505925711"/>
          <c:h val="0.77650592990568701"/>
        </c:manualLayout>
      </c:layout>
      <c:barChart>
        <c:barDir val="bar"/>
        <c:grouping val="stacked"/>
        <c:varyColors val="0"/>
        <c:ser>
          <c:idx val="0"/>
          <c:order val="0"/>
          <c:tx>
            <c:strRef>
              <c:f>calculation!$AX$7</c:f>
              <c:strCache>
                <c:ptCount val="1"/>
                <c:pt idx="0">
                  <c:v>positive</c:v>
                </c:pt>
              </c:strCache>
            </c:strRef>
          </c:tx>
          <c:spPr>
            <a:solidFill>
              <a:srgbClr val="70CD53"/>
            </a:solidFill>
            <a:ln>
              <a:noFill/>
            </a:ln>
            <a:effectLst/>
          </c:spPr>
          <c:invertIfNegative val="0"/>
          <c:dLbls>
            <c:dLbl>
              <c:idx val="0"/>
              <c:tx>
                <c:rich>
                  <a:bodyPr/>
                  <a:lstStyle/>
                  <a:p>
                    <a:fld id="{AFDF192A-58FE-4332-AC44-E7D8A09DDFE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A5A-4C78-97CD-362A129CF4FC}"/>
                </c:ext>
              </c:extLst>
            </c:dLbl>
            <c:dLbl>
              <c:idx val="1"/>
              <c:tx>
                <c:rich>
                  <a:bodyPr/>
                  <a:lstStyle/>
                  <a:p>
                    <a:fld id="{F4F5F453-85E0-47C3-A647-67BD1FCD3EF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A5A-4C78-97CD-362A129CF4FC}"/>
                </c:ext>
              </c:extLst>
            </c:dLbl>
            <c:dLbl>
              <c:idx val="2"/>
              <c:tx>
                <c:rich>
                  <a:bodyPr/>
                  <a:lstStyle/>
                  <a:p>
                    <a:fld id="{2F862DFC-8CF4-401A-872B-4A226F1AF57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5A-4C78-97CD-362A129CF4FC}"/>
                </c:ext>
              </c:extLst>
            </c:dLbl>
            <c:dLbl>
              <c:idx val="3"/>
              <c:tx>
                <c:rich>
                  <a:bodyPr/>
                  <a:lstStyle/>
                  <a:p>
                    <a:fld id="{C926A0C4-3CCF-4E33-90B2-942C39AA5F0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5A-4C78-97CD-362A129CF4FC}"/>
                </c:ext>
              </c:extLst>
            </c:dLbl>
            <c:dLbl>
              <c:idx val="4"/>
              <c:tx>
                <c:rich>
                  <a:bodyPr/>
                  <a:lstStyle/>
                  <a:p>
                    <a:fld id="{076421CB-A50D-40C0-AF37-332A91F56B5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5A-4C78-97CD-362A129CF4FC}"/>
                </c:ext>
              </c:extLst>
            </c:dLbl>
            <c:dLbl>
              <c:idx val="5"/>
              <c:tx>
                <c:rich>
                  <a:bodyPr/>
                  <a:lstStyle/>
                  <a:p>
                    <a:fld id="{E02B83C2-6BF6-4F9F-83D3-F1D6ED4C2A4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5A-4C78-97CD-362A129CF4FC}"/>
                </c:ext>
              </c:extLst>
            </c:dLbl>
            <c:dLbl>
              <c:idx val="6"/>
              <c:tx>
                <c:rich>
                  <a:bodyPr/>
                  <a:lstStyle/>
                  <a:p>
                    <a:fld id="{6EF29BC5-53C5-4F1C-A61A-3B3BD870A2E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Customer Service and Experience</c:v>
                </c:pt>
                <c:pt idx="1">
                  <c:v>Brand and Model Specifics</c:v>
                </c:pt>
                <c:pt idx="2">
                  <c:v>Software and Operating Systems</c:v>
                </c:pt>
                <c:pt idx="3">
                  <c:v>Connectivity and Network</c:v>
                </c:pt>
                <c:pt idx="4">
                  <c:v>Performance and Speed</c:v>
                </c:pt>
                <c:pt idx="5">
                  <c:v>Hardware Features and Design</c:v>
                </c:pt>
                <c:pt idx="6">
                  <c:v>Design and Aesthetics</c:v>
                </c:pt>
              </c:strCache>
            </c:strRef>
          </c:cat>
          <c:val>
            <c:numRef>
              <c:f>calculation!$AX$8:$AX$14</c:f>
              <c:numCache>
                <c:formatCode>General</c:formatCode>
                <c:ptCount val="7"/>
                <c:pt idx="0">
                  <c:v>1</c:v>
                </c:pt>
                <c:pt idx="1">
                  <c:v>4</c:v>
                </c:pt>
                <c:pt idx="2">
                  <c:v>7</c:v>
                </c:pt>
                <c:pt idx="3">
                  <c:v>3</c:v>
                </c:pt>
                <c:pt idx="4">
                  <c:v>4</c:v>
                </c:pt>
                <c:pt idx="5">
                  <c:v>6</c:v>
                </c:pt>
                <c:pt idx="6">
                  <c:v>2</c:v>
                </c:pt>
              </c:numCache>
            </c:numRef>
          </c:val>
          <c:extLst>
            <c:ext xmlns:c15="http://schemas.microsoft.com/office/drawing/2012/chart" uri="{02D57815-91ED-43cb-92C2-25804820EDAC}">
              <c15:datalabelsRange>
                <c15:f>calculation!$BD$8:$BD$14</c15:f>
                <c15:dlblRangeCache>
                  <c:ptCount val="7"/>
                  <c:pt idx="0">
                    <c:v>25%</c:v>
                  </c:pt>
                  <c:pt idx="1">
                    <c:v>100%</c:v>
                  </c:pt>
                  <c:pt idx="2">
                    <c:v>175%</c:v>
                  </c:pt>
                  <c:pt idx="3">
                    <c:v>75%</c:v>
                  </c:pt>
                  <c:pt idx="4">
                    <c:v>100%</c:v>
                  </c:pt>
                  <c:pt idx="5">
                    <c:v>150%</c:v>
                  </c:pt>
                  <c:pt idx="6">
                    <c:v>50%</c:v>
                  </c:pt>
                </c15:dlblRangeCache>
              </c15:datalabelsRange>
            </c:ext>
            <c:ext xmlns:c16="http://schemas.microsoft.com/office/drawing/2014/chart" uri="{C3380CC4-5D6E-409C-BE32-E72D297353CC}">
              <c16:uniqueId val="{00000007-CA5A-4C78-97CD-362A129CF4FC}"/>
            </c:ext>
          </c:extLst>
        </c:ser>
        <c:ser>
          <c:idx val="1"/>
          <c:order val="1"/>
          <c:tx>
            <c:strRef>
              <c:f>calculation!$AY$7</c:f>
              <c:strCache>
                <c:ptCount val="1"/>
                <c:pt idx="0">
                  <c:v>neutral</c:v>
                </c:pt>
              </c:strCache>
            </c:strRef>
          </c:tx>
          <c:spPr>
            <a:solidFill>
              <a:srgbClr val="F8F200"/>
            </a:solidFill>
            <a:ln>
              <a:noFill/>
            </a:ln>
            <a:effectLst/>
          </c:spPr>
          <c:invertIfNegative val="0"/>
          <c:dLbls>
            <c:dLbl>
              <c:idx val="0"/>
              <c:tx>
                <c:rich>
                  <a:bodyPr/>
                  <a:lstStyle/>
                  <a:p>
                    <a:fld id="{3D11B739-FB00-475B-9B2A-BBA7A8317E6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A5A-4C78-97CD-362A129CF4FC}"/>
                </c:ext>
              </c:extLst>
            </c:dLbl>
            <c:dLbl>
              <c:idx val="1"/>
              <c:tx>
                <c:rich>
                  <a:bodyPr/>
                  <a:lstStyle/>
                  <a:p>
                    <a:fld id="{CD440DD0-EE47-45AA-BA02-F476447A794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5A-4C78-97CD-362A129CF4FC}"/>
                </c:ext>
              </c:extLst>
            </c:dLbl>
            <c:dLbl>
              <c:idx val="2"/>
              <c:tx>
                <c:rich>
                  <a:bodyPr/>
                  <a:lstStyle/>
                  <a:p>
                    <a:fld id="{9880443E-AB5B-4681-8C97-EB8AF9C0C61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5A-4C78-97CD-362A129CF4FC}"/>
                </c:ext>
              </c:extLst>
            </c:dLbl>
            <c:dLbl>
              <c:idx val="3"/>
              <c:tx>
                <c:rich>
                  <a:bodyPr/>
                  <a:lstStyle/>
                  <a:p>
                    <a:fld id="{3A6AC8BD-4E7D-41E2-8F07-28FC2C41729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5A-4C78-97CD-362A129CF4FC}"/>
                </c:ext>
              </c:extLst>
            </c:dLbl>
            <c:dLbl>
              <c:idx val="4"/>
              <c:tx>
                <c:rich>
                  <a:bodyPr/>
                  <a:lstStyle/>
                  <a:p>
                    <a:fld id="{731D8AD2-38C1-437F-8CA7-019A7AE1561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5A-4C78-97CD-362A129CF4FC}"/>
                </c:ext>
              </c:extLst>
            </c:dLbl>
            <c:dLbl>
              <c:idx val="5"/>
              <c:tx>
                <c:rich>
                  <a:bodyPr/>
                  <a:lstStyle/>
                  <a:p>
                    <a:fld id="{17F0AB9B-7222-4C03-8208-5B2D1290E51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A5A-4C78-97CD-362A129CF4FC}"/>
                </c:ext>
              </c:extLst>
            </c:dLbl>
            <c:dLbl>
              <c:idx val="6"/>
              <c:tx>
                <c:rich>
                  <a:bodyPr/>
                  <a:lstStyle/>
                  <a:p>
                    <a:fld id="{501D4BF1-072F-41D8-BFC4-AB28B3497DE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Customer Service and Experience</c:v>
                </c:pt>
                <c:pt idx="1">
                  <c:v>Brand and Model Specifics</c:v>
                </c:pt>
                <c:pt idx="2">
                  <c:v>Software and Operating Systems</c:v>
                </c:pt>
                <c:pt idx="3">
                  <c:v>Connectivity and Network</c:v>
                </c:pt>
                <c:pt idx="4">
                  <c:v>Performance and Speed</c:v>
                </c:pt>
                <c:pt idx="5">
                  <c:v>Hardware Features and Design</c:v>
                </c:pt>
                <c:pt idx="6">
                  <c:v>Design and Aesthetics</c:v>
                </c:pt>
              </c:strCache>
            </c:strRef>
          </c:cat>
          <c:val>
            <c:numRef>
              <c:f>calculation!$AY$8:$AY$14</c:f>
              <c:numCache>
                <c:formatCode>General</c:formatCode>
                <c:ptCount val="7"/>
                <c:pt idx="0">
                  <c:v>1</c:v>
                </c:pt>
                <c:pt idx="1">
                  <c:v>1</c:v>
                </c:pt>
                <c:pt idx="2">
                  <c:v>3</c:v>
                </c:pt>
                <c:pt idx="3">
                  <c:v>0</c:v>
                </c:pt>
                <c:pt idx="4">
                  <c:v>0</c:v>
                </c:pt>
                <c:pt idx="5">
                  <c:v>0</c:v>
                </c:pt>
                <c:pt idx="6">
                  <c:v>0</c:v>
                </c:pt>
              </c:numCache>
            </c:numRef>
          </c:val>
          <c:extLst>
            <c:ext xmlns:c15="http://schemas.microsoft.com/office/drawing/2012/chart" uri="{02D57815-91ED-43cb-92C2-25804820EDAC}">
              <c15:datalabelsRange>
                <c15:f>calculation!$BE$8:$BE$14</c15:f>
                <c15:dlblRangeCache>
                  <c:ptCount val="7"/>
                  <c:pt idx="0">
                    <c:v>25%</c:v>
                  </c:pt>
                  <c:pt idx="1">
                    <c:v>25%</c:v>
                  </c:pt>
                  <c:pt idx="2">
                    <c:v>75%</c:v>
                  </c:pt>
                </c15:dlblRangeCache>
              </c15:datalabelsRange>
            </c:ext>
            <c:ext xmlns:c16="http://schemas.microsoft.com/office/drawing/2014/chart" uri="{C3380CC4-5D6E-409C-BE32-E72D297353CC}">
              <c16:uniqueId val="{0000000F-CA5A-4C78-97CD-362A129CF4FC}"/>
            </c:ext>
          </c:extLst>
        </c:ser>
        <c:ser>
          <c:idx val="2"/>
          <c:order val="2"/>
          <c:tx>
            <c:strRef>
              <c:f>calculation!$AZ$7</c:f>
              <c:strCache>
                <c:ptCount val="1"/>
                <c:pt idx="0">
                  <c:v>negative</c:v>
                </c:pt>
              </c:strCache>
            </c:strRef>
          </c:tx>
          <c:spPr>
            <a:solidFill>
              <a:srgbClr val="C00000"/>
            </a:solidFill>
            <a:ln>
              <a:noFill/>
            </a:ln>
            <a:effectLst/>
          </c:spPr>
          <c:invertIfNegative val="0"/>
          <c:dLbls>
            <c:dLbl>
              <c:idx val="0"/>
              <c:tx>
                <c:rich>
                  <a:bodyPr/>
                  <a:lstStyle/>
                  <a:p>
                    <a:fld id="{A27C49C0-1C11-40C0-A799-42AB962AD820}"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CA5A-4C78-97CD-362A129CF4FC}"/>
                </c:ext>
              </c:extLst>
            </c:dLbl>
            <c:dLbl>
              <c:idx val="1"/>
              <c:tx>
                <c:rich>
                  <a:bodyPr/>
                  <a:lstStyle/>
                  <a:p>
                    <a:fld id="{1A29FE23-120F-45D3-BD09-603A0304C4E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A5A-4C78-97CD-362A129CF4FC}"/>
                </c:ext>
              </c:extLst>
            </c:dLbl>
            <c:dLbl>
              <c:idx val="2"/>
              <c:tx>
                <c:rich>
                  <a:bodyPr/>
                  <a:lstStyle/>
                  <a:p>
                    <a:fld id="{EB37BC00-4A7F-417A-B1A3-E751B485CCE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A5A-4C78-97CD-362A129CF4FC}"/>
                </c:ext>
              </c:extLst>
            </c:dLbl>
            <c:dLbl>
              <c:idx val="3"/>
              <c:tx>
                <c:rich>
                  <a:bodyPr/>
                  <a:lstStyle/>
                  <a:p>
                    <a:fld id="{93449B9D-87F3-4F40-81F0-55F152C041A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A5A-4C78-97CD-362A129CF4FC}"/>
                </c:ext>
              </c:extLst>
            </c:dLbl>
            <c:dLbl>
              <c:idx val="4"/>
              <c:tx>
                <c:rich>
                  <a:bodyPr/>
                  <a:lstStyle/>
                  <a:p>
                    <a:fld id="{C96D0945-B132-4A16-87E9-546642539A8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A5A-4C78-97CD-362A129CF4FC}"/>
                </c:ext>
              </c:extLst>
            </c:dLbl>
            <c:dLbl>
              <c:idx val="5"/>
              <c:tx>
                <c:rich>
                  <a:bodyPr/>
                  <a:lstStyle/>
                  <a:p>
                    <a:fld id="{CD32734C-9914-4E9C-B807-376888172ED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A5A-4C78-97CD-362A129CF4FC}"/>
                </c:ext>
              </c:extLst>
            </c:dLbl>
            <c:dLbl>
              <c:idx val="6"/>
              <c:tx>
                <c:rich>
                  <a:bodyPr/>
                  <a:lstStyle/>
                  <a:p>
                    <a:fld id="{3FFC10A5-CBAC-4705-87C5-42AC3F5D4C8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Customer Service and Experience</c:v>
                </c:pt>
                <c:pt idx="1">
                  <c:v>Brand and Model Specifics</c:v>
                </c:pt>
                <c:pt idx="2">
                  <c:v>Software and Operating Systems</c:v>
                </c:pt>
                <c:pt idx="3">
                  <c:v>Connectivity and Network</c:v>
                </c:pt>
                <c:pt idx="4">
                  <c:v>Performance and Speed</c:v>
                </c:pt>
                <c:pt idx="5">
                  <c:v>Hardware Features and Design</c:v>
                </c:pt>
                <c:pt idx="6">
                  <c:v>Design and Aesthetics</c:v>
                </c:pt>
              </c:strCache>
            </c:strRef>
          </c:cat>
          <c:val>
            <c:numRef>
              <c:f>calculation!$AZ$8:$AZ$14</c:f>
              <c:numCache>
                <c:formatCode>General</c:formatCode>
                <c:ptCount val="7"/>
                <c:pt idx="0">
                  <c:v>2</c:v>
                </c:pt>
                <c:pt idx="1">
                  <c:v>2</c:v>
                </c:pt>
                <c:pt idx="2">
                  <c:v>1</c:v>
                </c:pt>
                <c:pt idx="3">
                  <c:v>4</c:v>
                </c:pt>
                <c:pt idx="4">
                  <c:v>0</c:v>
                </c:pt>
                <c:pt idx="5">
                  <c:v>11</c:v>
                </c:pt>
                <c:pt idx="6">
                  <c:v>0</c:v>
                </c:pt>
              </c:numCache>
            </c:numRef>
          </c:val>
          <c:extLst>
            <c:ext xmlns:c15="http://schemas.microsoft.com/office/drawing/2012/chart" uri="{02D57815-91ED-43cb-92C2-25804820EDAC}">
              <c15:datalabelsRange>
                <c15:f>calculation!$BF$8:$BF$14</c15:f>
                <c15:dlblRangeCache>
                  <c:ptCount val="7"/>
                  <c:pt idx="0">
                    <c:v>50%</c:v>
                  </c:pt>
                  <c:pt idx="1">
                    <c:v>50%</c:v>
                  </c:pt>
                  <c:pt idx="2">
                    <c:v>25%</c:v>
                  </c:pt>
                  <c:pt idx="3">
                    <c:v>100%</c:v>
                  </c:pt>
                  <c:pt idx="5">
                    <c:v>275%</c:v>
                  </c:pt>
                </c15:dlblRangeCache>
              </c15:datalabelsRange>
            </c:ext>
            <c:ext xmlns:c16="http://schemas.microsoft.com/office/drawing/2014/chart" uri="{C3380CC4-5D6E-409C-BE32-E72D297353CC}">
              <c16:uniqueId val="{00000017-CA5A-4C78-97CD-362A129CF4FC}"/>
            </c:ext>
          </c:extLst>
        </c:ser>
        <c:ser>
          <c:idx val="3"/>
          <c:order val="3"/>
          <c:tx>
            <c:strRef>
              <c:f>calculation!$BC$7</c:f>
              <c:strCache>
                <c:ptCount val="1"/>
                <c:pt idx="0">
                  <c:v>dummy</c:v>
                </c:pt>
              </c:strCache>
            </c:strRef>
          </c:tx>
          <c:spPr>
            <a:solidFill>
              <a:schemeClr val="bg1"/>
            </a:solidFill>
            <a:ln>
              <a:noFill/>
            </a:ln>
            <a:effectLst/>
          </c:spPr>
          <c:invertIfNegative val="0"/>
          <c:dLbls>
            <c:dLbl>
              <c:idx val="0"/>
              <c:tx>
                <c:rich>
                  <a:bodyPr/>
                  <a:lstStyle/>
                  <a:p>
                    <a:fld id="{A478B121-9C41-4248-84B5-69E5268345C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A5A-4C78-97CD-362A129CF4FC}"/>
                </c:ext>
              </c:extLst>
            </c:dLbl>
            <c:dLbl>
              <c:idx val="1"/>
              <c:tx>
                <c:rich>
                  <a:bodyPr/>
                  <a:lstStyle/>
                  <a:p>
                    <a:fld id="{D899F049-5ED4-4A8B-88F0-9ABA0CC646F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A5A-4C78-97CD-362A129CF4FC}"/>
                </c:ext>
              </c:extLst>
            </c:dLbl>
            <c:dLbl>
              <c:idx val="2"/>
              <c:tx>
                <c:rich>
                  <a:bodyPr/>
                  <a:lstStyle/>
                  <a:p>
                    <a:fld id="{30EABBC4-4383-4043-ABC9-60417941E78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A5A-4C78-97CD-362A129CF4FC}"/>
                </c:ext>
              </c:extLst>
            </c:dLbl>
            <c:dLbl>
              <c:idx val="3"/>
              <c:tx>
                <c:rich>
                  <a:bodyPr/>
                  <a:lstStyle/>
                  <a:p>
                    <a:fld id="{227E13D5-C75A-4D6E-B7F8-C1BA4EE164F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A5A-4C78-97CD-362A129CF4FC}"/>
                </c:ext>
              </c:extLst>
            </c:dLbl>
            <c:dLbl>
              <c:idx val="4"/>
              <c:tx>
                <c:rich>
                  <a:bodyPr/>
                  <a:lstStyle/>
                  <a:p>
                    <a:fld id="{205670CF-8C10-4897-A131-C2C31B2438A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A5A-4C78-97CD-362A129CF4FC}"/>
                </c:ext>
              </c:extLst>
            </c:dLbl>
            <c:dLbl>
              <c:idx val="5"/>
              <c:tx>
                <c:rich>
                  <a:bodyPr/>
                  <a:lstStyle/>
                  <a:p>
                    <a:fld id="{2A0AA79E-95DE-4264-8A31-36939D52091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A5A-4C78-97CD-362A129CF4FC}"/>
                </c:ext>
              </c:extLst>
            </c:dLbl>
            <c:dLbl>
              <c:idx val="6"/>
              <c:tx>
                <c:rich>
                  <a:bodyPr/>
                  <a:lstStyle/>
                  <a:p>
                    <a:fld id="{0605F162-658F-470C-9A36-44C3DB913DC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calculation!$BC$8:$BC$14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calculation!$BA$8:$BA$14</c15:f>
                <c15:dlblRangeCache>
                  <c:ptCount val="7"/>
                  <c:pt idx="0">
                    <c:v>4</c:v>
                  </c:pt>
                  <c:pt idx="1">
                    <c:v>7</c:v>
                  </c:pt>
                  <c:pt idx="2">
                    <c:v>11</c:v>
                  </c:pt>
                  <c:pt idx="3">
                    <c:v>7</c:v>
                  </c:pt>
                  <c:pt idx="4">
                    <c:v>4</c:v>
                  </c:pt>
                  <c:pt idx="5">
                    <c:v>17</c:v>
                  </c:pt>
                  <c:pt idx="6">
                    <c:v>2</c:v>
                  </c:pt>
                </c15:dlblRangeCache>
              </c15:datalabelsRange>
            </c:ext>
            <c:ext xmlns:c16="http://schemas.microsoft.com/office/drawing/2014/chart" uri="{C3380CC4-5D6E-409C-BE32-E72D297353CC}">
              <c16:uniqueId val="{0000001F-CA5A-4C78-97CD-362A129CF4FC}"/>
            </c:ext>
          </c:extLst>
        </c:ser>
        <c:dLbls>
          <c:showLegendKey val="0"/>
          <c:showVal val="0"/>
          <c:showCatName val="0"/>
          <c:showSerName val="0"/>
          <c:showPercent val="0"/>
          <c:showBubbleSize val="0"/>
        </c:dLbls>
        <c:gapWidth val="150"/>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'EDA-calculation'!$H$3</c:f>
          <c:strCache>
            <c:ptCount val="1"/>
            <c:pt idx="0">
              <c:v>Distribution Sentiment All Topics Period: 2013</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'EDA-calculation'!$I$4</c:f>
              <c:strCache>
                <c:ptCount val="1"/>
                <c:pt idx="0">
                  <c:v>positive</c:v>
                </c:pt>
              </c:strCache>
            </c:strRef>
          </c:tx>
          <c:spPr>
            <a:solidFill>
              <a:srgbClr val="70CD53"/>
            </a:solidFill>
            <a:ln>
              <a:noFill/>
            </a:ln>
            <a:effectLst/>
          </c:spPr>
          <c:invertIfNegative val="0"/>
          <c:cat>
            <c:numRef>
              <c:f>'EDA-calculation'!$H$5:$H$16</c:f>
              <c:numCache>
                <c:formatCode>m/d/yyyy</c:formatCode>
                <c:ptCount val="12"/>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numCache>
            </c:numRef>
          </c:cat>
          <c:val>
            <c:numRef>
              <c:f>'EDA-calculation'!$I$5:$I$16</c:f>
              <c:numCache>
                <c:formatCode>General</c:formatCode>
                <c:ptCount val="12"/>
                <c:pt idx="0">
                  <c:v>0</c:v>
                </c:pt>
                <c:pt idx="1">
                  <c:v>0</c:v>
                </c:pt>
                <c:pt idx="2">
                  <c:v>0</c:v>
                </c:pt>
                <c:pt idx="3">
                  <c:v>2</c:v>
                </c:pt>
                <c:pt idx="4">
                  <c:v>0</c:v>
                </c:pt>
                <c:pt idx="5">
                  <c:v>0</c:v>
                </c:pt>
                <c:pt idx="6">
                  <c:v>0</c:v>
                </c:pt>
                <c:pt idx="7">
                  <c:v>0</c:v>
                </c:pt>
                <c:pt idx="8">
                  <c:v>0</c:v>
                </c:pt>
                <c:pt idx="9">
                  <c:v>0</c:v>
                </c:pt>
                <c:pt idx="10">
                  <c:v>0</c:v>
                </c:pt>
                <c:pt idx="11">
                  <c:v>3</c:v>
                </c:pt>
              </c:numCache>
            </c:numRef>
          </c:val>
          <c:extLst>
            <c:ext xmlns:c16="http://schemas.microsoft.com/office/drawing/2014/chart" uri="{C3380CC4-5D6E-409C-BE32-E72D297353CC}">
              <c16:uniqueId val="{00000000-A9D5-4854-A19D-BB760DE01E7E}"/>
            </c:ext>
          </c:extLst>
        </c:ser>
        <c:ser>
          <c:idx val="1"/>
          <c:order val="1"/>
          <c:tx>
            <c:strRef>
              <c:f>'EDA-calculation'!$J$4</c:f>
              <c:strCache>
                <c:ptCount val="1"/>
                <c:pt idx="0">
                  <c:v>neutral</c:v>
                </c:pt>
              </c:strCache>
            </c:strRef>
          </c:tx>
          <c:spPr>
            <a:solidFill>
              <a:srgbClr val="F8F200"/>
            </a:solidFill>
            <a:ln>
              <a:noFill/>
            </a:ln>
            <a:effectLst/>
          </c:spPr>
          <c:invertIfNegative val="0"/>
          <c:cat>
            <c:numRef>
              <c:f>'EDA-calculation'!$H$5:$H$16</c:f>
              <c:numCache>
                <c:formatCode>m/d/yyyy</c:formatCode>
                <c:ptCount val="12"/>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numCache>
            </c:numRef>
          </c:cat>
          <c:val>
            <c:numRef>
              <c:f>'EDA-calculation'!$J$5:$J$16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2</c:v>
                </c:pt>
              </c:numCache>
            </c:numRef>
          </c:val>
          <c:extLst>
            <c:ext xmlns:c16="http://schemas.microsoft.com/office/drawing/2014/chart" uri="{C3380CC4-5D6E-409C-BE32-E72D297353CC}">
              <c16:uniqueId val="{00000001-A9D5-4854-A19D-BB760DE01E7E}"/>
            </c:ext>
          </c:extLst>
        </c:ser>
        <c:ser>
          <c:idx val="2"/>
          <c:order val="2"/>
          <c:tx>
            <c:strRef>
              <c:f>'EDA-calculation'!$K$4</c:f>
              <c:strCache>
                <c:ptCount val="1"/>
                <c:pt idx="0">
                  <c:v>negative</c:v>
                </c:pt>
              </c:strCache>
            </c:strRef>
          </c:tx>
          <c:spPr>
            <a:solidFill>
              <a:srgbClr val="C00000"/>
            </a:solidFill>
            <a:ln>
              <a:noFill/>
            </a:ln>
            <a:effectLst/>
          </c:spPr>
          <c:invertIfNegative val="0"/>
          <c:cat>
            <c:numRef>
              <c:f>'EDA-calculation'!$H$5:$H$16</c:f>
              <c:numCache>
                <c:formatCode>m/d/yyyy</c:formatCode>
                <c:ptCount val="12"/>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numCache>
            </c:numRef>
          </c:cat>
          <c:val>
            <c:numRef>
              <c:f>'EDA-calculation'!$K$5:$K$16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1</c:v>
                </c:pt>
              </c:numCache>
            </c:numRef>
          </c:val>
          <c:extLst>
            <c:ext xmlns:c16="http://schemas.microsoft.com/office/drawing/2014/chart" uri="{C3380CC4-5D6E-409C-BE32-E72D297353CC}">
              <c16:uniqueId val="{00000002-A9D5-4854-A19D-BB760DE01E7E}"/>
            </c:ext>
          </c:extLst>
        </c:ser>
        <c:dLbls>
          <c:showLegendKey val="0"/>
          <c:showVal val="0"/>
          <c:showCatName val="0"/>
          <c:showSerName val="0"/>
          <c:showPercent val="0"/>
          <c:showBubbleSize val="0"/>
        </c:dLbls>
        <c:gapWidth val="150"/>
        <c:overlap val="100"/>
        <c:axId val="424437568"/>
        <c:axId val="424438048"/>
      </c:barChart>
      <c:lineChart>
        <c:grouping val="stacked"/>
        <c:varyColors val="0"/>
        <c:ser>
          <c:idx val="3"/>
          <c:order val="3"/>
          <c:tx>
            <c:v>label</c:v>
          </c:tx>
          <c:spPr>
            <a:ln w="25400" cap="rnd">
              <a:noFill/>
              <a:round/>
            </a:ln>
            <a:effectLst/>
          </c:spPr>
          <c:marker>
            <c:symbol val="none"/>
          </c:marker>
          <c:dLbls>
            <c:dLbl>
              <c:idx val="0"/>
              <c:tx>
                <c:rich>
                  <a:bodyPr/>
                  <a:lstStyle/>
                  <a:p>
                    <a:fld id="{BFE46B0D-FEB1-4792-8971-8602F122174B}"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9D5-4854-A19D-BB760DE01E7E}"/>
                </c:ext>
              </c:extLst>
            </c:dLbl>
            <c:dLbl>
              <c:idx val="1"/>
              <c:tx>
                <c:rich>
                  <a:bodyPr/>
                  <a:lstStyle/>
                  <a:p>
                    <a:fld id="{8C1DEFB2-CAEE-4155-8CE8-F56A8BF73C9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9D5-4854-A19D-BB760DE01E7E}"/>
                </c:ext>
              </c:extLst>
            </c:dLbl>
            <c:dLbl>
              <c:idx val="2"/>
              <c:tx>
                <c:rich>
                  <a:bodyPr/>
                  <a:lstStyle/>
                  <a:p>
                    <a:fld id="{64CF9160-9E72-497C-B337-1274AA31B24E}"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9D5-4854-A19D-BB760DE01E7E}"/>
                </c:ext>
              </c:extLst>
            </c:dLbl>
            <c:dLbl>
              <c:idx val="3"/>
              <c:tx>
                <c:rich>
                  <a:bodyPr/>
                  <a:lstStyle/>
                  <a:p>
                    <a:fld id="{7443564E-BACB-4B51-B448-D576E6F793A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D5-4854-A19D-BB760DE01E7E}"/>
                </c:ext>
              </c:extLst>
            </c:dLbl>
            <c:dLbl>
              <c:idx val="4"/>
              <c:tx>
                <c:rich>
                  <a:bodyPr/>
                  <a:lstStyle/>
                  <a:p>
                    <a:fld id="{849C5977-1E19-4FCB-AC22-DA4851DD8922}"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D5-4854-A19D-BB760DE01E7E}"/>
                </c:ext>
              </c:extLst>
            </c:dLbl>
            <c:dLbl>
              <c:idx val="5"/>
              <c:tx>
                <c:rich>
                  <a:bodyPr/>
                  <a:lstStyle/>
                  <a:p>
                    <a:fld id="{375F4F9D-62EF-4E55-AD56-E59FB7908DBF}"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D5-4854-A19D-BB760DE01E7E}"/>
                </c:ext>
              </c:extLst>
            </c:dLbl>
            <c:dLbl>
              <c:idx val="6"/>
              <c:tx>
                <c:rich>
                  <a:bodyPr/>
                  <a:lstStyle/>
                  <a:p>
                    <a:fld id="{CFC6F83A-A288-46EE-B01A-338689EED79C}"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D5-4854-A19D-BB760DE01E7E}"/>
                </c:ext>
              </c:extLst>
            </c:dLbl>
            <c:dLbl>
              <c:idx val="7"/>
              <c:tx>
                <c:rich>
                  <a:bodyPr/>
                  <a:lstStyle/>
                  <a:p>
                    <a:fld id="{CD10A97F-A842-4C6B-AA07-E70FCDB834B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D5-4854-A19D-BB760DE01E7E}"/>
                </c:ext>
              </c:extLst>
            </c:dLbl>
            <c:dLbl>
              <c:idx val="8"/>
              <c:tx>
                <c:rich>
                  <a:bodyPr/>
                  <a:lstStyle/>
                  <a:p>
                    <a:fld id="{9AD3E805-3A6F-42C6-B53F-4EE95B34D209}"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D5-4854-A19D-BB760DE01E7E}"/>
                </c:ext>
              </c:extLst>
            </c:dLbl>
            <c:dLbl>
              <c:idx val="9"/>
              <c:tx>
                <c:rich>
                  <a:bodyPr/>
                  <a:lstStyle/>
                  <a:p>
                    <a:fld id="{66E9B33B-59BD-4A6B-8201-4F4239FD2EFD}"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9D5-4854-A19D-BB760DE01E7E}"/>
                </c:ext>
              </c:extLst>
            </c:dLbl>
            <c:dLbl>
              <c:idx val="10"/>
              <c:tx>
                <c:rich>
                  <a:bodyPr/>
                  <a:lstStyle/>
                  <a:p>
                    <a:fld id="{BEBD67A8-68E3-48E0-9A7F-5371D6E9BBBD}"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9D5-4854-A19D-BB760DE01E7E}"/>
                </c:ext>
              </c:extLst>
            </c:dLbl>
            <c:dLbl>
              <c:idx val="11"/>
              <c:tx>
                <c:rich>
                  <a:bodyPr/>
                  <a:lstStyle/>
                  <a:p>
                    <a:fld id="{2746BA45-D22E-439A-B5CF-59615E0228A9}"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9D5-4854-A19D-BB760DE01E7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'EDA-calculation'!$D$5:$D$22</c:f>
              <c:numCache>
                <c:formatCode>yyyy\-mm\-dd</c:formatCode>
                <c:ptCount val="18"/>
                <c:pt idx="0">
                  <c:v>41382</c:v>
                </c:pt>
                <c:pt idx="1">
                  <c:v>41616</c:v>
                </c:pt>
                <c:pt idx="2">
                  <c:v>41627</c:v>
                </c:pt>
                <c:pt idx="3">
                  <c:v>41847</c:v>
                </c:pt>
                <c:pt idx="4">
                  <c:v>41903</c:v>
                </c:pt>
                <c:pt idx="5">
                  <c:v>41915</c:v>
                </c:pt>
                <c:pt idx="6">
                  <c:v>42173</c:v>
                </c:pt>
                <c:pt idx="7">
                  <c:v>42310</c:v>
                </c:pt>
                <c:pt idx="8">
                  <c:v>42430</c:v>
                </c:pt>
                <c:pt idx="9">
                  <c:v>42582</c:v>
                </c:pt>
                <c:pt idx="10">
                  <c:v>42603</c:v>
                </c:pt>
                <c:pt idx="11">
                  <c:v>42649</c:v>
                </c:pt>
                <c:pt idx="12">
                  <c:v>42663</c:v>
                </c:pt>
                <c:pt idx="13">
                  <c:v>42681</c:v>
                </c:pt>
                <c:pt idx="14">
                  <c:v>42697</c:v>
                </c:pt>
                <c:pt idx="15">
                  <c:v>42703</c:v>
                </c:pt>
                <c:pt idx="16">
                  <c:v>42741</c:v>
                </c:pt>
                <c:pt idx="17">
                  <c:v>42751</c:v>
                </c:pt>
              </c:numCache>
            </c:numRef>
          </c:cat>
          <c:val>
            <c:numRef>
              <c:f>'EDA-calculation'!$L$5:$L$16</c:f>
              <c:numCache>
                <c:formatCode>General</c:formatCode>
                <c:ptCount val="12"/>
                <c:pt idx="0">
                  <c:v>0</c:v>
                </c:pt>
                <c:pt idx="1">
                  <c:v>0</c:v>
                </c:pt>
                <c:pt idx="2">
                  <c:v>0</c:v>
                </c:pt>
                <c:pt idx="3">
                  <c:v>2</c:v>
                </c:pt>
                <c:pt idx="4">
                  <c:v>0</c:v>
                </c:pt>
                <c:pt idx="5">
                  <c:v>0</c:v>
                </c:pt>
                <c:pt idx="6">
                  <c:v>0</c:v>
                </c:pt>
                <c:pt idx="7">
                  <c:v>0</c:v>
                </c:pt>
                <c:pt idx="8">
                  <c:v>0</c:v>
                </c:pt>
                <c:pt idx="9">
                  <c:v>0</c:v>
                </c:pt>
                <c:pt idx="10">
                  <c:v>0</c:v>
                </c:pt>
                <c:pt idx="11">
                  <c:v>6</c:v>
                </c:pt>
              </c:numCache>
            </c:numRef>
          </c:val>
          <c:smooth val="0"/>
          <c:extLst>
            <c:ext xmlns:c15="http://schemas.microsoft.com/office/drawing/2012/chart" uri="{02D57815-91ED-43cb-92C2-25804820EDAC}">
              <c15:datalabelsRange>
                <c15:f>'EDA-calculation'!$M$5:$M$16</c15:f>
                <c15:dlblRangeCache>
                  <c:ptCount val="12"/>
                  <c:pt idx="3">
                    <c:v>2</c:v>
                  </c:pt>
                  <c:pt idx="11">
                    <c:v>6</c:v>
                  </c:pt>
                </c15:dlblRangeCache>
              </c15:datalabelsRange>
            </c:ext>
            <c:ext xmlns:c16="http://schemas.microsoft.com/office/drawing/2014/chart" uri="{C3380CC4-5D6E-409C-BE32-E72D297353CC}">
              <c16:uniqueId val="{00000015-A9D5-4854-A19D-BB760DE01E7E}"/>
            </c:ext>
          </c:extLst>
        </c:ser>
        <c:dLbls>
          <c:showLegendKey val="0"/>
          <c:showVal val="0"/>
          <c:showCatName val="0"/>
          <c:showSerName val="0"/>
          <c:showPercent val="0"/>
          <c:showBubbleSize val="0"/>
        </c:dLbls>
        <c:marker val="1"/>
        <c:smooth val="0"/>
        <c:axId val="424437568"/>
        <c:axId val="424438048"/>
      </c:lineChart>
      <c:dateAx>
        <c:axId val="4244375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438048"/>
        <c:crosses val="autoZero"/>
        <c:auto val="1"/>
        <c:lblOffset val="100"/>
        <c:baseTimeUnit val="months"/>
      </c:dateAx>
      <c:valAx>
        <c:axId val="424438048"/>
        <c:scaling>
          <c:orientation val="minMax"/>
        </c:scaling>
        <c:delete val="1"/>
        <c:axPos val="l"/>
        <c:numFmt formatCode="General" sourceLinked="1"/>
        <c:majorTickMark val="out"/>
        <c:minorTickMark val="none"/>
        <c:tickLblPos val="nextTo"/>
        <c:crossAx val="424437568"/>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calculation!$BK$15</c:f>
          <c:strCache>
            <c:ptCount val="1"/>
            <c:pt idx="0">
              <c:v>Trend Sentiment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calculation!$BM$67</c:f>
              <c:strCache>
                <c:ptCount val="1"/>
                <c:pt idx="0">
                  <c:v>positive</c:v>
                </c:pt>
              </c:strCache>
            </c:strRef>
          </c:tx>
          <c:spPr>
            <a:solidFill>
              <a:srgbClr val="70CD53"/>
            </a:solidFill>
            <a:ln>
              <a:noFill/>
            </a:ln>
            <a:effectLst/>
          </c:spPr>
          <c:invertIfNegative val="0"/>
          <c:dLbls>
            <c:dLbl>
              <c:idx val="0"/>
              <c:tx>
                <c:rich>
                  <a:bodyPr/>
                  <a:lstStyle/>
                  <a:p>
                    <a:fld id="{BA3D6F19-1720-430F-995A-26D8098BD0A3}"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273-48FA-AC67-5315294629D9}"/>
                </c:ext>
              </c:extLst>
            </c:dLbl>
            <c:dLbl>
              <c:idx val="1"/>
              <c:tx>
                <c:rich>
                  <a:bodyPr/>
                  <a:lstStyle/>
                  <a:p>
                    <a:fld id="{C7FBF352-B789-4299-A632-BF877407737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273-48FA-AC67-5315294629D9}"/>
                </c:ext>
              </c:extLst>
            </c:dLbl>
            <c:dLbl>
              <c:idx val="2"/>
              <c:tx>
                <c:rich>
                  <a:bodyPr/>
                  <a:lstStyle/>
                  <a:p>
                    <a:fld id="{B467FE47-50B0-458F-AECD-A81F7DFF596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273-48FA-AC67-5315294629D9}"/>
                </c:ext>
              </c:extLst>
            </c:dLbl>
            <c:dLbl>
              <c:idx val="3"/>
              <c:tx>
                <c:rich>
                  <a:bodyPr/>
                  <a:lstStyle/>
                  <a:p>
                    <a:fld id="{F6D49849-38FB-4F75-9DC8-EAF7EB859ED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273-48FA-AC67-5315294629D9}"/>
                </c:ext>
              </c:extLst>
            </c:dLbl>
            <c:dLbl>
              <c:idx val="4"/>
              <c:tx>
                <c:rich>
                  <a:bodyPr/>
                  <a:lstStyle/>
                  <a:p>
                    <a:fld id="{2B8F7BFC-AD75-43C0-89E0-1B25329117C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273-48FA-AC67-5315294629D9}"/>
                </c:ext>
              </c:extLst>
            </c:dLbl>
            <c:dLbl>
              <c:idx val="5"/>
              <c:tx>
                <c:rich>
                  <a:bodyPr/>
                  <a:lstStyle/>
                  <a:p>
                    <a:fld id="{28550C4E-CD9F-49FA-870B-B50B218245D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273-48FA-AC67-5315294629D9}"/>
                </c:ext>
              </c:extLst>
            </c:dLbl>
            <c:dLbl>
              <c:idx val="6"/>
              <c:tx>
                <c:rich>
                  <a:bodyPr/>
                  <a:lstStyle/>
                  <a:p>
                    <a:fld id="{039738B9-5D9E-430E-9656-2EC6643CC0A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273-48FA-AC67-5315294629D9}"/>
                </c:ext>
              </c:extLst>
            </c:dLbl>
            <c:dLbl>
              <c:idx val="7"/>
              <c:tx>
                <c:rich>
                  <a:bodyPr/>
                  <a:lstStyle/>
                  <a:p>
                    <a:fld id="{6E8F613F-641B-4890-8F94-9A7E5173DA0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273-48FA-AC67-5315294629D9}"/>
                </c:ext>
              </c:extLst>
            </c:dLbl>
            <c:dLbl>
              <c:idx val="8"/>
              <c:tx>
                <c:rich>
                  <a:bodyPr/>
                  <a:lstStyle/>
                  <a:p>
                    <a:fld id="{A5327AAF-1931-44D1-B11C-8D5A9C10DA0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273-48FA-AC67-5315294629D9}"/>
                </c:ext>
              </c:extLst>
            </c:dLbl>
            <c:dLbl>
              <c:idx val="9"/>
              <c:tx>
                <c:rich>
                  <a:bodyPr/>
                  <a:lstStyle/>
                  <a:p>
                    <a:fld id="{E7733402-710F-4127-9CE2-49E9FD341F0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273-48FA-AC67-5315294629D9}"/>
                </c:ext>
              </c:extLst>
            </c:dLbl>
            <c:dLbl>
              <c:idx val="10"/>
              <c:tx>
                <c:rich>
                  <a:bodyPr/>
                  <a:lstStyle/>
                  <a:p>
                    <a:fld id="{5FF06C6C-5A28-496C-8C5A-360749C7519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273-48FA-AC67-5315294629D9}"/>
                </c:ext>
              </c:extLst>
            </c:dLbl>
            <c:dLbl>
              <c:idx val="11"/>
              <c:tx>
                <c:rich>
                  <a:bodyPr/>
                  <a:lstStyle/>
                  <a:p>
                    <a:fld id="{7E101F50-C139-4B85-A004-A3E6CADAD87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calculation!$BM$68:$BM$98</c:f>
              <c:numCache>
                <c:formatCode>General</c:formatCode>
                <c:ptCount val="31"/>
                <c:pt idx="0">
                  <c:v>0</c:v>
                </c:pt>
                <c:pt idx="1">
                  <c:v>3</c:v>
                </c:pt>
                <c:pt idx="2">
                  <c:v>2</c:v>
                </c:pt>
                <c:pt idx="3">
                  <c:v>1</c:v>
                </c:pt>
                <c:pt idx="4">
                  <c:v>0</c:v>
                </c:pt>
                <c:pt idx="5">
                  <c:v>2</c:v>
                </c:pt>
                <c:pt idx="6">
                  <c:v>0</c:v>
                </c:pt>
                <c:pt idx="7">
                  <c:v>0</c:v>
                </c:pt>
                <c:pt idx="8">
                  <c:v>0</c:v>
                </c:pt>
                <c:pt idx="9">
                  <c:v>2</c:v>
                </c:pt>
                <c:pt idx="10">
                  <c:v>0</c:v>
                </c:pt>
                <c:pt idx="11">
                  <c:v>0</c:v>
                </c:pt>
              </c:numCache>
            </c:numRef>
          </c:val>
          <c:extLst>
            <c:ext xmlns:c15="http://schemas.microsoft.com/office/drawing/2012/chart" uri="{02D57815-91ED-43cb-92C2-25804820EDAC}">
              <c15:datalabelsRange>
                <c15:f>calculation!$BS$68:$BS$98</c15:f>
                <c15:dlblRangeCache>
                  <c:ptCount val="31"/>
                  <c:pt idx="1">
                    <c:v>50%</c:v>
                  </c:pt>
                  <c:pt idx="2">
                    <c:v>67%</c:v>
                  </c:pt>
                  <c:pt idx="3">
                    <c:v>100%</c:v>
                  </c:pt>
                  <c:pt idx="5">
                    <c:v>100%</c:v>
                  </c:pt>
                  <c:pt idx="9">
                    <c:v>50%</c:v>
                  </c:pt>
                </c15:dlblRangeCache>
              </c15:datalabelsRange>
            </c:ext>
            <c:ext xmlns:c16="http://schemas.microsoft.com/office/drawing/2014/chart" uri="{C3380CC4-5D6E-409C-BE32-E72D297353CC}">
              <c16:uniqueId val="{00000000-CD47-493C-AF6D-4378ECB75163}"/>
            </c:ext>
          </c:extLst>
        </c:ser>
        <c:ser>
          <c:idx val="1"/>
          <c:order val="1"/>
          <c:tx>
            <c:strRef>
              <c:f>calculation!$BN$67</c:f>
              <c:strCache>
                <c:ptCount val="1"/>
                <c:pt idx="0">
                  <c:v>neutral</c:v>
                </c:pt>
              </c:strCache>
            </c:strRef>
          </c:tx>
          <c:spPr>
            <a:solidFill>
              <a:srgbClr val="F8F200"/>
            </a:solidFill>
            <a:ln>
              <a:noFill/>
            </a:ln>
            <a:effectLst/>
          </c:spPr>
          <c:invertIfNegative val="0"/>
          <c:dLbls>
            <c:dLbl>
              <c:idx val="0"/>
              <c:tx>
                <c:rich>
                  <a:bodyPr/>
                  <a:lstStyle/>
                  <a:p>
                    <a:fld id="{34903267-B87D-4C0E-A936-99149133E28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6273-48FA-AC67-5315294629D9}"/>
                </c:ext>
              </c:extLst>
            </c:dLbl>
            <c:dLbl>
              <c:idx val="1"/>
              <c:tx>
                <c:rich>
                  <a:bodyPr/>
                  <a:lstStyle/>
                  <a:p>
                    <a:fld id="{A4F8DC99-5989-4570-8735-F864A4A7525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6273-48FA-AC67-5315294629D9}"/>
                </c:ext>
              </c:extLst>
            </c:dLbl>
            <c:dLbl>
              <c:idx val="2"/>
              <c:tx>
                <c:rich>
                  <a:bodyPr/>
                  <a:lstStyle/>
                  <a:p>
                    <a:fld id="{423EF5B9-2109-42BF-B938-5B86CE5B885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6273-48FA-AC67-5315294629D9}"/>
                </c:ext>
              </c:extLst>
            </c:dLbl>
            <c:dLbl>
              <c:idx val="3"/>
              <c:tx>
                <c:rich>
                  <a:bodyPr/>
                  <a:lstStyle/>
                  <a:p>
                    <a:fld id="{09E3FB21-667C-4CE6-80E3-D733232B1D7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6273-48FA-AC67-5315294629D9}"/>
                </c:ext>
              </c:extLst>
            </c:dLbl>
            <c:dLbl>
              <c:idx val="4"/>
              <c:tx>
                <c:rich>
                  <a:bodyPr/>
                  <a:lstStyle/>
                  <a:p>
                    <a:fld id="{93AA72A3-8EBE-4355-9987-7D7593DCB50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6273-48FA-AC67-5315294629D9}"/>
                </c:ext>
              </c:extLst>
            </c:dLbl>
            <c:dLbl>
              <c:idx val="5"/>
              <c:tx>
                <c:rich>
                  <a:bodyPr/>
                  <a:lstStyle/>
                  <a:p>
                    <a:fld id="{F718DDB5-AE4A-476E-8743-5C171D82013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6273-48FA-AC67-5315294629D9}"/>
                </c:ext>
              </c:extLst>
            </c:dLbl>
            <c:dLbl>
              <c:idx val="6"/>
              <c:tx>
                <c:rich>
                  <a:bodyPr/>
                  <a:lstStyle/>
                  <a:p>
                    <a:fld id="{7F40E7E7-E929-4D33-93AC-AD197B12D8F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6273-48FA-AC67-5315294629D9}"/>
                </c:ext>
              </c:extLst>
            </c:dLbl>
            <c:dLbl>
              <c:idx val="7"/>
              <c:tx>
                <c:rich>
                  <a:bodyPr/>
                  <a:lstStyle/>
                  <a:p>
                    <a:fld id="{6F17B52B-CC14-4E12-9E4D-4F38BC8A9A6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6273-48FA-AC67-5315294629D9}"/>
                </c:ext>
              </c:extLst>
            </c:dLbl>
            <c:dLbl>
              <c:idx val="8"/>
              <c:tx>
                <c:rich>
                  <a:bodyPr/>
                  <a:lstStyle/>
                  <a:p>
                    <a:fld id="{A05442E8-78A5-4CDD-95DC-3EBC2CCDDA0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6273-48FA-AC67-5315294629D9}"/>
                </c:ext>
              </c:extLst>
            </c:dLbl>
            <c:dLbl>
              <c:idx val="9"/>
              <c:tx>
                <c:rich>
                  <a:bodyPr/>
                  <a:lstStyle/>
                  <a:p>
                    <a:fld id="{594C59CE-F650-478C-900E-409C7639637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6273-48FA-AC67-5315294629D9}"/>
                </c:ext>
              </c:extLst>
            </c:dLbl>
            <c:dLbl>
              <c:idx val="10"/>
              <c:tx>
                <c:rich>
                  <a:bodyPr/>
                  <a:lstStyle/>
                  <a:p>
                    <a:fld id="{2F824181-3968-4F0F-AB3F-194608863AD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6273-48FA-AC67-5315294629D9}"/>
                </c:ext>
              </c:extLst>
            </c:dLbl>
            <c:dLbl>
              <c:idx val="11"/>
              <c:tx>
                <c:rich>
                  <a:bodyPr/>
                  <a:lstStyle/>
                  <a:p>
                    <a:fld id="{87811A80-6EF0-4586-8185-EEF08944E81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calculation!$BN$68:$BN$98</c:f>
              <c:numCache>
                <c:formatCode>General</c:formatCode>
                <c:ptCount val="31"/>
                <c:pt idx="0">
                  <c:v>0</c:v>
                </c:pt>
                <c:pt idx="1">
                  <c:v>0</c:v>
                </c:pt>
                <c:pt idx="2">
                  <c:v>0</c:v>
                </c:pt>
                <c:pt idx="3">
                  <c:v>0</c:v>
                </c:pt>
                <c:pt idx="4">
                  <c:v>0</c:v>
                </c:pt>
                <c:pt idx="5">
                  <c:v>0</c:v>
                </c:pt>
                <c:pt idx="6">
                  <c:v>0</c:v>
                </c:pt>
                <c:pt idx="7">
                  <c:v>1</c:v>
                </c:pt>
                <c:pt idx="8">
                  <c:v>0</c:v>
                </c:pt>
                <c:pt idx="9">
                  <c:v>0</c:v>
                </c:pt>
                <c:pt idx="10">
                  <c:v>0</c:v>
                </c:pt>
                <c:pt idx="11">
                  <c:v>0</c:v>
                </c:pt>
              </c:numCache>
            </c:numRef>
          </c:val>
          <c:extLst>
            <c:ext xmlns:c15="http://schemas.microsoft.com/office/drawing/2012/chart" uri="{02D57815-91ED-43cb-92C2-25804820EDAC}">
              <c15:datalabelsRange>
                <c15:f>calculation!$BT$68:$BT$98</c15:f>
                <c15:dlblRangeCache>
                  <c:ptCount val="31"/>
                  <c:pt idx="7">
                    <c:v>20%</c:v>
                  </c:pt>
                </c15:dlblRangeCache>
              </c15:datalabelsRange>
            </c:ext>
            <c:ext xmlns:c16="http://schemas.microsoft.com/office/drawing/2014/chart" uri="{C3380CC4-5D6E-409C-BE32-E72D297353CC}">
              <c16:uniqueId val="{00000001-CD47-493C-AF6D-4378ECB75163}"/>
            </c:ext>
          </c:extLst>
        </c:ser>
        <c:ser>
          <c:idx val="2"/>
          <c:order val="2"/>
          <c:tx>
            <c:strRef>
              <c:f>calculation!$BO$67</c:f>
              <c:strCache>
                <c:ptCount val="1"/>
                <c:pt idx="0">
                  <c:v>negative</c:v>
                </c:pt>
              </c:strCache>
            </c:strRef>
          </c:tx>
          <c:spPr>
            <a:solidFill>
              <a:srgbClr val="C00000"/>
            </a:solidFill>
            <a:ln>
              <a:noFill/>
            </a:ln>
            <a:effectLst/>
          </c:spPr>
          <c:invertIfNegative val="0"/>
          <c:dLbls>
            <c:dLbl>
              <c:idx val="0"/>
              <c:tx>
                <c:rich>
                  <a:bodyPr/>
                  <a:lstStyle/>
                  <a:p>
                    <a:fld id="{C9FA41AE-63CF-4C2F-904D-6251DDAFE9A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E-6273-48FA-AC67-5315294629D9}"/>
                </c:ext>
              </c:extLst>
            </c:dLbl>
            <c:dLbl>
              <c:idx val="1"/>
              <c:tx>
                <c:rich>
                  <a:bodyPr/>
                  <a:lstStyle/>
                  <a:p>
                    <a:fld id="{6B953FC3-098F-4579-8ECD-EF1C894D42C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6273-48FA-AC67-5315294629D9}"/>
                </c:ext>
              </c:extLst>
            </c:dLbl>
            <c:dLbl>
              <c:idx val="2"/>
              <c:tx>
                <c:rich>
                  <a:bodyPr/>
                  <a:lstStyle/>
                  <a:p>
                    <a:fld id="{0C1A86B7-D204-4BCA-89B8-756B277BD2E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6273-48FA-AC67-5315294629D9}"/>
                </c:ext>
              </c:extLst>
            </c:dLbl>
            <c:dLbl>
              <c:idx val="3"/>
              <c:tx>
                <c:rich>
                  <a:bodyPr/>
                  <a:lstStyle/>
                  <a:p>
                    <a:fld id="{99F84EAA-E58F-4695-91E7-325C8B157C1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6273-48FA-AC67-5315294629D9}"/>
                </c:ext>
              </c:extLst>
            </c:dLbl>
            <c:dLbl>
              <c:idx val="4"/>
              <c:tx>
                <c:rich>
                  <a:bodyPr/>
                  <a:lstStyle/>
                  <a:p>
                    <a:fld id="{A93495CF-16D2-44CD-9AD0-08A01447468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6273-48FA-AC67-5315294629D9}"/>
                </c:ext>
              </c:extLst>
            </c:dLbl>
            <c:dLbl>
              <c:idx val="5"/>
              <c:tx>
                <c:rich>
                  <a:bodyPr/>
                  <a:lstStyle/>
                  <a:p>
                    <a:fld id="{AF459253-3C3E-4B68-B533-969EE3BB365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6273-48FA-AC67-5315294629D9}"/>
                </c:ext>
              </c:extLst>
            </c:dLbl>
            <c:dLbl>
              <c:idx val="6"/>
              <c:tx>
                <c:rich>
                  <a:bodyPr/>
                  <a:lstStyle/>
                  <a:p>
                    <a:fld id="{3216E9DA-0857-4349-91F5-4A221B3E7E3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6273-48FA-AC67-5315294629D9}"/>
                </c:ext>
              </c:extLst>
            </c:dLbl>
            <c:dLbl>
              <c:idx val="7"/>
              <c:tx>
                <c:rich>
                  <a:bodyPr/>
                  <a:lstStyle/>
                  <a:p>
                    <a:fld id="{4176774B-E200-4CF2-B19D-75FD0184A71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6273-48FA-AC67-5315294629D9}"/>
                </c:ext>
              </c:extLst>
            </c:dLbl>
            <c:dLbl>
              <c:idx val="8"/>
              <c:tx>
                <c:rich>
                  <a:bodyPr/>
                  <a:lstStyle/>
                  <a:p>
                    <a:fld id="{3EC2490F-CB8B-431B-B2D7-AC04BF30F2B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6273-48FA-AC67-5315294629D9}"/>
                </c:ext>
              </c:extLst>
            </c:dLbl>
            <c:dLbl>
              <c:idx val="9"/>
              <c:tx>
                <c:rich>
                  <a:bodyPr/>
                  <a:lstStyle/>
                  <a:p>
                    <a:fld id="{69A9F6D8-6AEE-466F-B95E-42CA7B6E7B1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6273-48FA-AC67-5315294629D9}"/>
                </c:ext>
              </c:extLst>
            </c:dLbl>
            <c:dLbl>
              <c:idx val="10"/>
              <c:tx>
                <c:rich>
                  <a:bodyPr/>
                  <a:lstStyle/>
                  <a:p>
                    <a:fld id="{312D67A6-48B5-481B-9E11-D158BB91C80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6273-48FA-AC67-5315294629D9}"/>
                </c:ext>
              </c:extLst>
            </c:dLbl>
            <c:dLbl>
              <c:idx val="11"/>
              <c:tx>
                <c:rich>
                  <a:bodyPr/>
                  <a:lstStyle/>
                  <a:p>
                    <a:fld id="{0F9E4984-9267-49E6-B9FF-456185B307A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calculation!$BO$68:$BO$98</c:f>
              <c:numCache>
                <c:formatCode>General</c:formatCode>
                <c:ptCount val="31"/>
                <c:pt idx="0">
                  <c:v>1</c:v>
                </c:pt>
                <c:pt idx="1">
                  <c:v>3</c:v>
                </c:pt>
                <c:pt idx="2">
                  <c:v>1</c:v>
                </c:pt>
                <c:pt idx="3">
                  <c:v>0</c:v>
                </c:pt>
                <c:pt idx="4">
                  <c:v>0</c:v>
                </c:pt>
                <c:pt idx="5">
                  <c:v>0</c:v>
                </c:pt>
                <c:pt idx="6">
                  <c:v>0</c:v>
                </c:pt>
                <c:pt idx="7">
                  <c:v>4</c:v>
                </c:pt>
                <c:pt idx="8">
                  <c:v>0</c:v>
                </c:pt>
                <c:pt idx="9">
                  <c:v>2</c:v>
                </c:pt>
                <c:pt idx="10">
                  <c:v>1</c:v>
                </c:pt>
                <c:pt idx="11">
                  <c:v>2</c:v>
                </c:pt>
              </c:numCache>
            </c:numRef>
          </c:val>
          <c:extLst>
            <c:ext xmlns:c15="http://schemas.microsoft.com/office/drawing/2012/chart" uri="{02D57815-91ED-43cb-92C2-25804820EDAC}">
              <c15:datalabelsRange>
                <c15:f>calculation!$BU$68:$BU$98</c15:f>
                <c15:dlblRangeCache>
                  <c:ptCount val="31"/>
                  <c:pt idx="0">
                    <c:v>100%</c:v>
                  </c:pt>
                  <c:pt idx="1">
                    <c:v>50%</c:v>
                  </c:pt>
                  <c:pt idx="2">
                    <c:v>33%</c:v>
                  </c:pt>
                  <c:pt idx="7">
                    <c:v>80%</c:v>
                  </c:pt>
                  <c:pt idx="9">
                    <c:v>50%</c:v>
                  </c:pt>
                  <c:pt idx="10">
                    <c:v>100%</c:v>
                  </c:pt>
                  <c:pt idx="11">
                    <c:v>100%</c:v>
                  </c:pt>
                </c15:dlblRangeCache>
              </c15:datalabelsRange>
            </c:ext>
            <c:ext xmlns:c16="http://schemas.microsoft.com/office/drawing/2014/chart" uri="{C3380CC4-5D6E-409C-BE32-E72D297353CC}">
              <c16:uniqueId val="{00000002-CD47-493C-AF6D-4378ECB75163}"/>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calculation!$BQ$67</c:f>
              <c:strCache>
                <c:ptCount val="1"/>
                <c:pt idx="0">
                  <c:v>total sentiment</c:v>
                </c:pt>
              </c:strCache>
            </c:strRef>
          </c:tx>
          <c:spPr>
            <a:ln w="28575" cap="rnd">
              <a:solidFill>
                <a:schemeClr val="bg1">
                  <a:lumMod val="85000"/>
                </a:schemeClr>
              </a:solidFill>
              <a:prstDash val="dash"/>
              <a:round/>
            </a:ln>
            <a:effectLst/>
          </c:spPr>
          <c:marker>
            <c:symbol val="circle"/>
            <c:size val="5"/>
            <c:spPr>
              <a:noFill/>
              <a:ln w="9525">
                <a:noFill/>
              </a:ln>
              <a:effectLst/>
            </c:spPr>
          </c:marker>
          <c:dLbls>
            <c:dLbl>
              <c:idx val="0"/>
              <c:tx>
                <c:rich>
                  <a:bodyPr/>
                  <a:lstStyle/>
                  <a:p>
                    <a:fld id="{61E135C0-42D0-4FCA-9731-E2744031A9DA}"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D47-493C-AF6D-4378ECB75163}"/>
                </c:ext>
              </c:extLst>
            </c:dLbl>
            <c:dLbl>
              <c:idx val="1"/>
              <c:tx>
                <c:rich>
                  <a:bodyPr/>
                  <a:lstStyle/>
                  <a:p>
                    <a:fld id="{3ED84FC6-5D26-4243-8EF2-39AAE824D64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D47-493C-AF6D-4378ECB75163}"/>
                </c:ext>
              </c:extLst>
            </c:dLbl>
            <c:dLbl>
              <c:idx val="2"/>
              <c:tx>
                <c:rich>
                  <a:bodyPr/>
                  <a:lstStyle/>
                  <a:p>
                    <a:fld id="{6D6B34DD-0896-4547-B179-565F924B987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D47-493C-AF6D-4378ECB75163}"/>
                </c:ext>
              </c:extLst>
            </c:dLbl>
            <c:dLbl>
              <c:idx val="3"/>
              <c:tx>
                <c:rich>
                  <a:bodyPr/>
                  <a:lstStyle/>
                  <a:p>
                    <a:fld id="{30E65479-50E4-4B9D-9461-2886E0A0AA1A}"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D47-493C-AF6D-4378ECB75163}"/>
                </c:ext>
              </c:extLst>
            </c:dLbl>
            <c:dLbl>
              <c:idx val="4"/>
              <c:tx>
                <c:rich>
                  <a:bodyPr/>
                  <a:lstStyle/>
                  <a:p>
                    <a:fld id="{1084B562-3263-4F4B-AC60-22C3B25E3BF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D47-493C-AF6D-4378ECB75163}"/>
                </c:ext>
              </c:extLst>
            </c:dLbl>
            <c:dLbl>
              <c:idx val="5"/>
              <c:tx>
                <c:rich>
                  <a:bodyPr/>
                  <a:lstStyle/>
                  <a:p>
                    <a:fld id="{9C087195-72C7-4CE2-BE56-909D4C5546E5}"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D47-493C-AF6D-4378ECB75163}"/>
                </c:ext>
              </c:extLst>
            </c:dLbl>
            <c:dLbl>
              <c:idx val="6"/>
              <c:tx>
                <c:rich>
                  <a:bodyPr/>
                  <a:lstStyle/>
                  <a:p>
                    <a:fld id="{107F0879-902D-4306-80F3-0DD052AA190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D47-493C-AF6D-4378ECB75163}"/>
                </c:ext>
              </c:extLst>
            </c:dLbl>
            <c:dLbl>
              <c:idx val="7"/>
              <c:tx>
                <c:rich>
                  <a:bodyPr/>
                  <a:lstStyle/>
                  <a:p>
                    <a:fld id="{16DFF113-B586-41CE-9CEF-3A5BFBED566D}"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D47-493C-AF6D-4378ECB75163}"/>
                </c:ext>
              </c:extLst>
            </c:dLbl>
            <c:dLbl>
              <c:idx val="8"/>
              <c:tx>
                <c:rich>
                  <a:bodyPr/>
                  <a:lstStyle/>
                  <a:p>
                    <a:fld id="{6CF4651D-B3FF-4C1E-9705-B407A917E3C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D47-493C-AF6D-4378ECB75163}"/>
                </c:ext>
              </c:extLst>
            </c:dLbl>
            <c:dLbl>
              <c:idx val="9"/>
              <c:tx>
                <c:rich>
                  <a:bodyPr/>
                  <a:lstStyle/>
                  <a:p>
                    <a:fld id="{08697B08-EA7A-4AF0-A3EA-62475AC939A2}"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D47-493C-AF6D-4378ECB75163}"/>
                </c:ext>
              </c:extLst>
            </c:dLbl>
            <c:dLbl>
              <c:idx val="10"/>
              <c:tx>
                <c:rich>
                  <a:bodyPr/>
                  <a:lstStyle/>
                  <a:p>
                    <a:fld id="{6262A5C1-1E0F-4D16-9048-5CBB967A4F0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D47-493C-AF6D-4378ECB75163}"/>
                </c:ext>
              </c:extLst>
            </c:dLbl>
            <c:dLbl>
              <c:idx val="11"/>
              <c:tx>
                <c:rich>
                  <a:bodyPr/>
                  <a:lstStyle/>
                  <a:p>
                    <a:fld id="{900A7706-FB4A-4AEA-871C-B7BD55DF089C}"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D47-493C-AF6D-4378ECB75163}"/>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CD47-493C-AF6D-4378ECB75163}"/>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CD47-493C-AF6D-4378ECB75163}"/>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CD47-493C-AF6D-4378ECB75163}"/>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CD47-493C-AF6D-4378ECB75163}"/>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CD47-493C-AF6D-4378ECB75163}"/>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CD47-493C-AF6D-4378ECB75163}"/>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CD47-493C-AF6D-4378ECB75163}"/>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CD47-493C-AF6D-4378ECB75163}"/>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CD47-493C-AF6D-4378ECB75163}"/>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CD47-493C-AF6D-4378ECB75163}"/>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CD47-493C-AF6D-4378ECB75163}"/>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CD47-493C-AF6D-4378ECB75163}"/>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CD47-493C-AF6D-4378ECB75163}"/>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CD47-493C-AF6D-4378ECB75163}"/>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CD47-493C-AF6D-4378ECB75163}"/>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CD47-493C-AF6D-4378ECB75163}"/>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CD47-493C-AF6D-4378ECB75163}"/>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CD47-493C-AF6D-4378ECB75163}"/>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CD47-493C-AF6D-4378ECB7516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calculation!$BQ$68:$BQ$98</c:f>
              <c:numCache>
                <c:formatCode>General</c:formatCode>
                <c:ptCount val="31"/>
                <c:pt idx="0">
                  <c:v>1</c:v>
                </c:pt>
                <c:pt idx="1">
                  <c:v>6</c:v>
                </c:pt>
                <c:pt idx="2">
                  <c:v>3</c:v>
                </c:pt>
                <c:pt idx="3">
                  <c:v>1</c:v>
                </c:pt>
                <c:pt idx="4">
                  <c:v>0</c:v>
                </c:pt>
                <c:pt idx="5">
                  <c:v>2</c:v>
                </c:pt>
                <c:pt idx="6">
                  <c:v>0</c:v>
                </c:pt>
                <c:pt idx="7">
                  <c:v>5</c:v>
                </c:pt>
                <c:pt idx="8">
                  <c:v>0</c:v>
                </c:pt>
                <c:pt idx="9">
                  <c:v>4</c:v>
                </c:pt>
                <c:pt idx="10">
                  <c:v>1</c:v>
                </c:pt>
                <c:pt idx="11">
                  <c:v>2</c:v>
                </c:pt>
              </c:numCache>
            </c:numRef>
          </c:val>
          <c:smooth val="0"/>
          <c:extLst>
            <c:ext xmlns:c15="http://schemas.microsoft.com/office/drawing/2012/chart" uri="{02D57815-91ED-43cb-92C2-25804820EDAC}">
              <c15:datalabelsRange>
                <c15:f>calculation!$BR$68:$BR$98</c15:f>
                <c15:dlblRangeCache>
                  <c:ptCount val="31"/>
                  <c:pt idx="0">
                    <c:v>1</c:v>
                  </c:pt>
                  <c:pt idx="1">
                    <c:v>6</c:v>
                  </c:pt>
                  <c:pt idx="2">
                    <c:v>3</c:v>
                  </c:pt>
                  <c:pt idx="3">
                    <c:v>1</c:v>
                  </c:pt>
                  <c:pt idx="5">
                    <c:v>2</c:v>
                  </c:pt>
                  <c:pt idx="7">
                    <c:v>5</c:v>
                  </c:pt>
                  <c:pt idx="9">
                    <c:v>4</c:v>
                  </c:pt>
                  <c:pt idx="10">
                    <c:v>1</c:v>
                  </c:pt>
                  <c:pt idx="11">
                    <c:v>2</c:v>
                  </c:pt>
                </c15:dlblRangeCache>
              </c15:datalabelsRange>
            </c:ext>
            <c:ext xmlns:c16="http://schemas.microsoft.com/office/drawing/2014/chart" uri="{C3380CC4-5D6E-409C-BE32-E72D297353CC}">
              <c16:uniqueId val="{00000022-CD47-493C-AF6D-4378ECB75163}"/>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1"/>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100" min="1" page="10"/>
</file>

<file path=xl/ctrlProps/ctrlProp2.xml><?xml version="1.0" encoding="utf-8"?>
<formControlPr xmlns="http://schemas.microsoft.com/office/spreadsheetml/2009/9/main" objectType="Drop" dropStyle="combo" dx="26" fmlaLink="calculation!$D$11" fmlaRange="calculation!$E$22:$E$23" noThreeD="1" sel="1" val="0"/>
</file>

<file path=xl/ctrlProps/ctrlProp3.xml><?xml version="1.0" encoding="utf-8"?>
<formControlPr xmlns="http://schemas.microsoft.com/office/spreadsheetml/2009/9/main" objectType="Drop" dropStyle="combo" dx="26" fmlaLink="calculation!$D$10" fmlaRange="calculation!$BK$5:$BK$7" noThreeD="1" sel="2" val="0"/>
</file>

<file path=xl/ctrlProps/ctrlProp4.xml><?xml version="1.0" encoding="utf-8"?>
<formControlPr xmlns="http://schemas.microsoft.com/office/spreadsheetml/2009/9/main" objectType="Drop" dropStyle="combo" dx="26" fmlaLink="calculation!$D$3" fmlaRange="calculation!$C$22:$C$30" noThreeD="1" sel="6"/>
</file>

<file path=xl/ctrlProps/ctrlProp5.xml><?xml version="1.0" encoding="utf-8"?>
<formControlPr xmlns="http://schemas.microsoft.com/office/spreadsheetml/2009/9/main" objectType="Drop" dropStyle="combo" dx="26" fmlaLink="'EDA-calculation'!$B$7" fmlaRange="'EDA-calculation'!$B$10:$B$16" noThreeD="1" sel="1"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17</xdr:col>
      <xdr:colOff>42525</xdr:colOff>
      <xdr:row>2</xdr:row>
      <xdr:rowOff>167019</xdr:rowOff>
    </xdr:from>
    <xdr:to>
      <xdr:col>19</xdr:col>
      <xdr:colOff>733771</xdr:colOff>
      <xdr:row>7</xdr:row>
      <xdr:rowOff>132589</xdr:rowOff>
    </xdr:to>
    <xdr:sp macro="" textlink="">
      <xdr:nvSpPr>
        <xdr:cNvPr id="25" name="Rectangle: Rounded Corners 24">
          <a:extLst>
            <a:ext uri="{FF2B5EF4-FFF2-40B4-BE49-F238E27FC236}">
              <a16:creationId xmlns:a16="http://schemas.microsoft.com/office/drawing/2014/main" id="{78E00FA7-3E91-4E7E-BB1B-D1E119AA3D74}"/>
            </a:ext>
          </a:extLst>
        </xdr:cNvPr>
        <xdr:cNvSpPr/>
      </xdr:nvSpPr>
      <xdr:spPr>
        <a:xfrm>
          <a:off x="11864842" y="529158"/>
          <a:ext cx="2162434" cy="87091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63769</xdr:colOff>
      <xdr:row>8</xdr:row>
      <xdr:rowOff>88776</xdr:rowOff>
    </xdr:from>
    <xdr:to>
      <xdr:col>16</xdr:col>
      <xdr:colOff>109035</xdr:colOff>
      <xdr:row>22</xdr:row>
      <xdr:rowOff>137976</xdr:rowOff>
    </xdr:to>
    <xdr:sp macro="" textlink="">
      <xdr:nvSpPr>
        <xdr:cNvPr id="24" name="Rectangle 23">
          <a:extLst>
            <a:ext uri="{FF2B5EF4-FFF2-40B4-BE49-F238E27FC236}">
              <a16:creationId xmlns:a16="http://schemas.microsoft.com/office/drawing/2014/main" id="{51C9CC8F-89C3-479A-9320-6AF821D730B8}"/>
            </a:ext>
          </a:extLst>
        </xdr:cNvPr>
        <xdr:cNvSpPr/>
      </xdr:nvSpPr>
      <xdr:spPr>
        <a:xfrm>
          <a:off x="4424612" y="1557692"/>
          <a:ext cx="6848182" cy="261980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144162</xdr:colOff>
      <xdr:row>14</xdr:row>
      <xdr:rowOff>144162</xdr:rowOff>
    </xdr:from>
    <xdr:to>
      <xdr:col>26</xdr:col>
      <xdr:colOff>545756</xdr:colOff>
      <xdr:row>55</xdr:row>
      <xdr:rowOff>102973</xdr:rowOff>
    </xdr:to>
    <xdr:sp macro="" textlink="">
      <xdr:nvSpPr>
        <xdr:cNvPr id="15" name="Rectangle 14">
          <a:extLst>
            <a:ext uri="{FF2B5EF4-FFF2-40B4-BE49-F238E27FC236}">
              <a16:creationId xmlns:a16="http://schemas.microsoft.com/office/drawing/2014/main" id="{E6761FC5-E7C5-3A56-052E-2583ADDE71EE}"/>
            </a:ext>
          </a:extLst>
        </xdr:cNvPr>
        <xdr:cNvSpPr/>
      </xdr:nvSpPr>
      <xdr:spPr>
        <a:xfrm>
          <a:off x="11308067" y="2684162"/>
          <a:ext cx="6449213" cy="739738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60538</xdr:colOff>
      <xdr:row>36</xdr:row>
      <xdr:rowOff>90984</xdr:rowOff>
    </xdr:from>
    <xdr:to>
      <xdr:col>16</xdr:col>
      <xdr:colOff>104296</xdr:colOff>
      <xdr:row>55</xdr:row>
      <xdr:rowOff>92673</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4473314" y="5732059"/>
          <a:ext cx="6355848" cy="34591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59030</xdr:colOff>
      <xdr:row>23</xdr:row>
      <xdr:rowOff>30179</xdr:rowOff>
    </xdr:from>
    <xdr:to>
      <xdr:col>16</xdr:col>
      <xdr:colOff>104296</xdr:colOff>
      <xdr:row>36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4428624" y="3244867"/>
          <a:ext cx="6307953" cy="233680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311617</xdr:colOff>
      <xdr:row>19</xdr:row>
      <xdr:rowOff>48358</xdr:rowOff>
    </xdr:from>
    <xdr:to>
      <xdr:col>26</xdr:col>
      <xdr:colOff>391296</xdr:colOff>
      <xdr:row>54</xdr:row>
      <xdr:rowOff>159219</xdr:rowOff>
    </xdr:to>
    <xdr:grpSp>
      <xdr:nvGrpSpPr>
        <xdr:cNvPr id="2" name="Group 1">
          <a:extLst>
            <a:ext uri="{FF2B5EF4-FFF2-40B4-BE49-F238E27FC236}">
              <a16:creationId xmlns:a16="http://schemas.microsoft.com/office/drawing/2014/main" id="{AD97CCD0-033B-45FA-AC99-F694D0068DA1}"/>
            </a:ext>
          </a:extLst>
        </xdr:cNvPr>
        <xdr:cNvGrpSpPr/>
      </xdr:nvGrpSpPr>
      <xdr:grpSpPr>
        <a:xfrm>
          <a:off x="11468079" y="3575050"/>
          <a:ext cx="6839986" cy="6607400"/>
          <a:chOff x="38707736" y="18918808"/>
          <a:chExt cx="11023916" cy="7249440"/>
        </a:xfrm>
        <a:solidFill>
          <a:schemeClr val="bg1">
            <a:lumMod val="85000"/>
          </a:schemeClr>
        </a:solidFill>
      </xdr:grpSpPr>
      <xdr:graphicFrame macro="">
        <xdr:nvGraphicFramePr>
          <xdr:cNvPr id="3" name="Chart 2">
            <a:extLst>
              <a:ext uri="{FF2B5EF4-FFF2-40B4-BE49-F238E27FC236}">
                <a16:creationId xmlns:a16="http://schemas.microsoft.com/office/drawing/2014/main" id="{BBE721F7-3B46-73E7-B66A-5FD4EC9EDDE3}"/>
              </a:ext>
            </a:extLst>
          </xdr:cNvPr>
          <xdr:cNvGraphicFramePr>
            <a:graphicFrameLocks/>
          </xdr:cNvGraphicFramePr>
        </xdr:nvGraphicFramePr>
        <xdr:xfrm>
          <a:off x="38712302" y="18918808"/>
          <a:ext cx="11017740" cy="2400284"/>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1EDAFE35-EC44-76DD-8352-E2E0C15F2488}"/>
              </a:ext>
            </a:extLst>
          </xdr:cNvPr>
          <xdr:cNvGraphicFramePr>
            <a:graphicFrameLocks/>
          </xdr:cNvGraphicFramePr>
        </xdr:nvGraphicFramePr>
        <xdr:xfrm>
          <a:off x="38707736" y="21277878"/>
          <a:ext cx="11023916" cy="489037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207418</xdr:colOff>
      <xdr:row>36</xdr:row>
      <xdr:rowOff>125103</xdr:rowOff>
    </xdr:from>
    <xdr:to>
      <xdr:col>15</xdr:col>
      <xdr:colOff>592190</xdr:colOff>
      <xdr:row>55</xdr:row>
      <xdr:rowOff>22520</xdr:rowOff>
    </xdr:to>
    <xdr:graphicFrame macro="">
      <xdr:nvGraphicFramePr>
        <xdr:cNvPr id="5" name="Chart 4">
          <a:extLst>
            <a:ext uri="{FF2B5EF4-FFF2-40B4-BE49-F238E27FC236}">
              <a16:creationId xmlns:a16="http://schemas.microsoft.com/office/drawing/2014/main" id="{8AD920A5-D987-407A-A326-30390E518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162900</xdr:colOff>
          <xdr:row>24</xdr:row>
          <xdr:rowOff>120247</xdr:rowOff>
        </xdr:from>
        <xdr:to>
          <xdr:col>13</xdr:col>
          <xdr:colOff>495689</xdr:colOff>
          <xdr:row>35</xdr:row>
          <xdr:rowOff>123823</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Q$7:$AU$17" spid="_x0000_s7441"/>
                </a:ext>
              </a:extLst>
            </xdr:cNvPicPr>
          </xdr:nvPicPr>
          <xdr:blipFill>
            <a:blip xmlns:r="http://schemas.openxmlformats.org/officeDocument/2006/relationships" r:embed="rId4"/>
            <a:srcRect/>
            <a:stretch>
              <a:fillRect/>
            </a:stretch>
          </xdr:blipFill>
          <xdr:spPr bwMode="auto">
            <a:xfrm>
              <a:off x="5139713" y="3513528"/>
              <a:ext cx="4694651" cy="1968108"/>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24</xdr:row>
          <xdr:rowOff>167640</xdr:rowOff>
        </xdr:from>
        <xdr:to>
          <xdr:col>8</xdr:col>
          <xdr:colOff>15240</xdr:colOff>
          <xdr:row>35</xdr:row>
          <xdr:rowOff>91440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29087</xdr:colOff>
      <xdr:row>22</xdr:row>
      <xdr:rowOff>152876</xdr:rowOff>
    </xdr:from>
    <xdr:to>
      <xdr:col>13</xdr:col>
      <xdr:colOff>279148</xdr:colOff>
      <xdr:row>24</xdr:row>
      <xdr:rowOff>72666</xdr:rowOff>
    </xdr:to>
    <xdr:sp macro="" textlink="">
      <xdr:nvSpPr>
        <xdr:cNvPr id="7" name="TextBox 6">
          <a:extLst>
            <a:ext uri="{FF2B5EF4-FFF2-40B4-BE49-F238E27FC236}">
              <a16:creationId xmlns:a16="http://schemas.microsoft.com/office/drawing/2014/main" id="{5F7E8FF2-80A7-4F51-9163-AD21E8BA143A}"/>
            </a:ext>
          </a:extLst>
        </xdr:cNvPr>
        <xdr:cNvSpPr txBox="1"/>
      </xdr:nvSpPr>
      <xdr:spPr>
        <a:xfrm>
          <a:off x="5982212" y="3188970"/>
          <a:ext cx="3107561"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kern="1200">
              <a:solidFill>
                <a:schemeClr val="tx1">
                  <a:lumMod val="65000"/>
                  <a:lumOff val="35000"/>
                </a:schemeClr>
              </a:solidFill>
            </a:rPr>
            <a:t>Table</a:t>
          </a:r>
          <a:r>
            <a:rPr lang="en-ID" sz="1400" kern="1200" baseline="0">
              <a:solidFill>
                <a:schemeClr val="tx1">
                  <a:lumMod val="65000"/>
                  <a:lumOff val="35000"/>
                </a:schemeClr>
              </a:solidFill>
            </a:rPr>
            <a:t> Frequency Sentiment per Aspect</a:t>
          </a:r>
          <a:endParaRPr lang="en-ID" sz="1400" kern="1200">
            <a:solidFill>
              <a:schemeClr val="tx1">
                <a:lumMod val="65000"/>
                <a:lumOff val="3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19</xdr:col>
          <xdr:colOff>129540</xdr:colOff>
          <xdr:row>16</xdr:row>
          <xdr:rowOff>129540</xdr:rowOff>
        </xdr:from>
        <xdr:to>
          <xdr:col>20</xdr:col>
          <xdr:colOff>548640</xdr:colOff>
          <xdr:row>18</xdr:row>
          <xdr:rowOff>0</xdr:rowOff>
        </xdr:to>
        <xdr:sp macro="" textlink="">
          <xdr:nvSpPr>
            <xdr:cNvPr id="7173" name="Drop Down 5" hidden="1">
              <a:extLst>
                <a:ext uri="{63B3BB69-23CF-44E3-9099-C40C66FF867C}">
                  <a14:compatExt spid="_x0000_s7173"/>
                </a:ext>
                <a:ext uri="{FF2B5EF4-FFF2-40B4-BE49-F238E27FC236}">
                  <a16:creationId xmlns:a16="http://schemas.microsoft.com/office/drawing/2014/main" id="{00000000-0008-0000-0000-00000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350520</xdr:colOff>
          <xdr:row>16</xdr:row>
          <xdr:rowOff>129540</xdr:rowOff>
        </xdr:from>
        <xdr:to>
          <xdr:col>18</xdr:col>
          <xdr:colOff>670560</xdr:colOff>
          <xdr:row>17</xdr:row>
          <xdr:rowOff>175260</xdr:rowOff>
        </xdr:to>
        <xdr:sp macro="" textlink="">
          <xdr:nvSpPr>
            <xdr:cNvPr id="7174" name="Drop Down 6" hidden="1">
              <a:extLst>
                <a:ext uri="{63B3BB69-23CF-44E3-9099-C40C66FF867C}">
                  <a14:compatExt spid="_x0000_s7174"/>
                </a:ext>
                <a:ext uri="{FF2B5EF4-FFF2-40B4-BE49-F238E27FC236}">
                  <a16:creationId xmlns:a16="http://schemas.microsoft.com/office/drawing/2014/main" id="{00000000-0008-0000-0000-000006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20</xdr:col>
      <xdr:colOff>249866</xdr:colOff>
      <xdr:row>8</xdr:row>
      <xdr:rowOff>94757</xdr:rowOff>
    </xdr:from>
    <xdr:to>
      <xdr:col>23</xdr:col>
      <xdr:colOff>389200</xdr:colOff>
      <xdr:row>11</xdr:row>
      <xdr:rowOff>174231</xdr:rowOff>
    </xdr:to>
    <xdr:grpSp>
      <xdr:nvGrpSpPr>
        <xdr:cNvPr id="9" name="Group 8">
          <a:extLst>
            <a:ext uri="{FF2B5EF4-FFF2-40B4-BE49-F238E27FC236}">
              <a16:creationId xmlns:a16="http://schemas.microsoft.com/office/drawing/2014/main" id="{56257C04-4DB3-EA72-77A0-89A2B60B505D}"/>
            </a:ext>
          </a:extLst>
        </xdr:cNvPr>
        <xdr:cNvGrpSpPr/>
      </xdr:nvGrpSpPr>
      <xdr:grpSpPr>
        <a:xfrm>
          <a:off x="14532481" y="1579680"/>
          <a:ext cx="1956411" cy="636320"/>
          <a:chOff x="8216777" y="577982"/>
          <a:chExt cx="1959302" cy="627715"/>
        </a:xfrm>
      </xdr:grpSpPr>
      <mc:AlternateContent xmlns:mc="http://schemas.openxmlformats.org/markup-compatibility/2006" xmlns:a14="http://schemas.microsoft.com/office/drawing/2010/main">
        <mc:Choice Requires="a14">
          <xdr:sp macro="" textlink="">
            <xdr:nvSpPr>
              <xdr:cNvPr id="7179" name="Drop Down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8260948" y="906684"/>
                <a:ext cx="1915131" cy="299013"/>
              </a:xfrm>
              <a:prstGeom prst="rect">
                <a:avLst/>
              </a:prstGeom>
              <a:noFill/>
              <a:ln w="9525">
                <a:miter lim="800000"/>
                <a:headEnd/>
                <a:tailEnd/>
              </a:ln>
            </xdr:spPr>
          </xdr:sp>
        </mc:Choice>
        <mc:Fallback xmlns=""/>
      </mc:AlternateContent>
      <xdr:sp macro="" textlink="">
        <xdr:nvSpPr>
          <xdr:cNvPr id="8" name="TextBox 7">
            <a:extLst>
              <a:ext uri="{FF2B5EF4-FFF2-40B4-BE49-F238E27FC236}">
                <a16:creationId xmlns:a16="http://schemas.microsoft.com/office/drawing/2014/main" id="{67567455-1A31-4BC2-B0BF-B573F2D2431A}"/>
              </a:ext>
            </a:extLst>
          </xdr:cNvPr>
          <xdr:cNvSpPr txBox="1"/>
        </xdr:nvSpPr>
        <xdr:spPr>
          <a:xfrm>
            <a:off x="8216777" y="577982"/>
            <a:ext cx="1437443" cy="300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grpSp>
    <xdr:clientData/>
  </xdr:twoCellAnchor>
  <xdr:twoCellAnchor>
    <xdr:from>
      <xdr:col>16</xdr:col>
      <xdr:colOff>338319</xdr:colOff>
      <xdr:row>15</xdr:row>
      <xdr:rowOff>79349</xdr:rowOff>
    </xdr:from>
    <xdr:to>
      <xdr:col>18</xdr:col>
      <xdr:colOff>464186</xdr:colOff>
      <xdr:row>16</xdr:row>
      <xdr:rowOff>105449</xdr:rowOff>
    </xdr:to>
    <xdr:sp macro="" textlink="">
      <xdr:nvSpPr>
        <xdr:cNvPr id="11" name="TextBox 10">
          <a:extLst>
            <a:ext uri="{FF2B5EF4-FFF2-40B4-BE49-F238E27FC236}">
              <a16:creationId xmlns:a16="http://schemas.microsoft.com/office/drawing/2014/main" id="{6180D470-E5D6-46F8-9F1D-C6182A79AE4A}"/>
            </a:ext>
          </a:extLst>
        </xdr:cNvPr>
        <xdr:cNvSpPr txBox="1"/>
      </xdr:nvSpPr>
      <xdr:spPr>
        <a:xfrm>
          <a:off x="10975427" y="1932863"/>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Period Trend</a:t>
          </a:r>
        </a:p>
      </xdr:txBody>
    </xdr:sp>
    <xdr:clientData/>
  </xdr:twoCellAnchor>
  <xdr:twoCellAnchor>
    <xdr:from>
      <xdr:col>19</xdr:col>
      <xdr:colOff>111247</xdr:colOff>
      <xdr:row>15</xdr:row>
      <xdr:rowOff>82477</xdr:rowOff>
    </xdr:from>
    <xdr:to>
      <xdr:col>21</xdr:col>
      <xdr:colOff>237114</xdr:colOff>
      <xdr:row>16</xdr:row>
      <xdr:rowOff>108577</xdr:rowOff>
    </xdr:to>
    <xdr:sp macro="" textlink="">
      <xdr:nvSpPr>
        <xdr:cNvPr id="12" name="TextBox 11">
          <a:extLst>
            <a:ext uri="{FF2B5EF4-FFF2-40B4-BE49-F238E27FC236}">
              <a16:creationId xmlns:a16="http://schemas.microsoft.com/office/drawing/2014/main" id="{4E0F3EEE-93F1-44BC-9FE1-3AEDD65029ED}"/>
            </a:ext>
          </a:extLst>
        </xdr:cNvPr>
        <xdr:cNvSpPr txBox="1"/>
      </xdr:nvSpPr>
      <xdr:spPr>
        <a:xfrm>
          <a:off x="12570977" y="1935991"/>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Metric</a:t>
          </a:r>
        </a:p>
      </xdr:txBody>
    </xdr:sp>
    <xdr:clientData/>
  </xdr:twoCellAnchor>
  <xdr:twoCellAnchor>
    <xdr:from>
      <xdr:col>18</xdr:col>
      <xdr:colOff>363810</xdr:colOff>
      <xdr:row>4</xdr:row>
      <xdr:rowOff>141864</xdr:rowOff>
    </xdr:from>
    <xdr:to>
      <xdr:col>19</xdr:col>
      <xdr:colOff>303002</xdr:colOff>
      <xdr:row>6</xdr:row>
      <xdr:rowOff>151801</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797236" y="866141"/>
          <a:ext cx="799271" cy="372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D9A4EF-DECF-409C-A580-79639A4A6AC2}" type="TxLink">
            <a:rPr lang="en-US" sz="2800" b="0" i="0" u="none" strike="noStrike" kern="1200">
              <a:solidFill>
                <a:srgbClr val="70CD53"/>
              </a:solidFill>
              <a:latin typeface="Calibri"/>
              <a:ea typeface="Calibri"/>
              <a:cs typeface="Calibri"/>
            </a:rPr>
            <a:pPr algn="ctr"/>
            <a:t>60%</a:t>
          </a:fld>
          <a:endParaRPr lang="en-ID" sz="2800" kern="1200">
            <a:solidFill>
              <a:srgbClr val="70CD53"/>
            </a:solidFill>
          </a:endParaRPr>
        </a:p>
      </xdr:txBody>
    </xdr:sp>
    <xdr:clientData/>
  </xdr:twoCellAnchor>
  <xdr:twoCellAnchor>
    <xdr:from>
      <xdr:col>17</xdr:col>
      <xdr:colOff>120131</xdr:colOff>
      <xdr:row>3</xdr:row>
      <xdr:rowOff>14135</xdr:rowOff>
    </xdr:from>
    <xdr:to>
      <xdr:col>19</xdr:col>
      <xdr:colOff>475307</xdr:colOff>
      <xdr:row>5</xdr:row>
      <xdr:rowOff>133420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942448" y="557343"/>
          <a:ext cx="1826364" cy="481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200" b="0" i="0" u="none" strike="noStrike" kern="1200">
              <a:solidFill>
                <a:srgbClr val="000000"/>
              </a:solidFill>
              <a:latin typeface="Calibri"/>
              <a:ea typeface="Calibri"/>
              <a:cs typeface="Calibri"/>
            </a:rPr>
            <a:pPr algn="l"/>
            <a:t>Sentiment Poisitive Rate Overall</a:t>
          </a:fld>
          <a:endParaRPr lang="en-ID" sz="1200" kern="1200"/>
        </a:p>
      </xdr:txBody>
    </xdr:sp>
    <xdr:clientData/>
  </xdr:twoCellAnchor>
  <xdr:twoCellAnchor>
    <xdr:from>
      <xdr:col>20</xdr:col>
      <xdr:colOff>42690</xdr:colOff>
      <xdr:row>2</xdr:row>
      <xdr:rowOff>169478</xdr:rowOff>
    </xdr:from>
    <xdr:to>
      <xdr:col>23</xdr:col>
      <xdr:colOff>384533</xdr:colOff>
      <xdr:row>7</xdr:row>
      <xdr:rowOff>135048</xdr:rowOff>
    </xdr:to>
    <xdr:sp macro="" textlink="">
      <xdr:nvSpPr>
        <xdr:cNvPr id="21" name="Rectangle: Rounded Corners 20">
          <a:extLst>
            <a:ext uri="{FF2B5EF4-FFF2-40B4-BE49-F238E27FC236}">
              <a16:creationId xmlns:a16="http://schemas.microsoft.com/office/drawing/2014/main" id="{77E99CFA-2FCB-4D75-9498-25ECF6F61303}"/>
            </a:ext>
          </a:extLst>
        </xdr:cNvPr>
        <xdr:cNvSpPr/>
      </xdr:nvSpPr>
      <xdr:spPr>
        <a:xfrm>
          <a:off x="14397289" y="533510"/>
          <a:ext cx="2174345" cy="87565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21</xdr:col>
      <xdr:colOff>318882</xdr:colOff>
      <xdr:row>4</xdr:row>
      <xdr:rowOff>124644</xdr:rowOff>
    </xdr:from>
    <xdr:to>
      <xdr:col>22</xdr:col>
      <xdr:colOff>583825</xdr:colOff>
      <xdr:row>6</xdr:row>
      <xdr:rowOff>135220</xdr:rowOff>
    </xdr:to>
    <xdr:sp macro="" textlink="calculation!$H$8">
      <xdr:nvSpPr>
        <xdr:cNvPr id="22" name="TextBox 21">
          <a:extLst>
            <a:ext uri="{FF2B5EF4-FFF2-40B4-BE49-F238E27FC236}">
              <a16:creationId xmlns:a16="http://schemas.microsoft.com/office/drawing/2014/main" id="{0CEF1918-B836-4C74-8490-F80449142716}"/>
            </a:ext>
          </a:extLst>
        </xdr:cNvPr>
        <xdr:cNvSpPr txBox="1"/>
      </xdr:nvSpPr>
      <xdr:spPr>
        <a:xfrm>
          <a:off x="15284315" y="852709"/>
          <a:ext cx="875777" cy="37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500A89-1043-4A01-A120-C97543F09D75}" type="TxLink">
            <a:rPr lang="en-US" sz="2800" b="0" i="0" u="none" strike="noStrike" kern="1200">
              <a:solidFill>
                <a:srgbClr val="C00000"/>
              </a:solidFill>
              <a:latin typeface="Calibri"/>
              <a:ea typeface="Calibri"/>
              <a:cs typeface="Calibri"/>
            </a:rPr>
            <a:pPr algn="ctr"/>
            <a:t>33%</a:t>
          </a:fld>
          <a:endParaRPr lang="en-ID" sz="2800" kern="1200">
            <a:solidFill>
              <a:srgbClr val="C00000"/>
            </a:solidFill>
          </a:endParaRPr>
        </a:p>
      </xdr:txBody>
    </xdr:sp>
    <xdr:clientData/>
  </xdr:twoCellAnchor>
  <xdr:twoCellAnchor>
    <xdr:from>
      <xdr:col>20</xdr:col>
      <xdr:colOff>125714</xdr:colOff>
      <xdr:row>3</xdr:row>
      <xdr:rowOff>2893</xdr:rowOff>
    </xdr:from>
    <xdr:to>
      <xdr:col>23</xdr:col>
      <xdr:colOff>255578</xdr:colOff>
      <xdr:row>5</xdr:row>
      <xdr:rowOff>122759</xdr:rowOff>
    </xdr:to>
    <xdr:sp macro="" textlink="calculation!$F$8">
      <xdr:nvSpPr>
        <xdr:cNvPr id="23" name="TextBox 22">
          <a:extLst>
            <a:ext uri="{FF2B5EF4-FFF2-40B4-BE49-F238E27FC236}">
              <a16:creationId xmlns:a16="http://schemas.microsoft.com/office/drawing/2014/main" id="{FBB2E277-4D38-47A6-B133-8B190FB9EBF7}"/>
            </a:ext>
          </a:extLst>
        </xdr:cNvPr>
        <xdr:cNvSpPr txBox="1"/>
      </xdr:nvSpPr>
      <xdr:spPr>
        <a:xfrm>
          <a:off x="14480313" y="548942"/>
          <a:ext cx="1962366" cy="483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7CC1507-B4F0-40D3-859D-C14A314063BC}" type="TxLink">
            <a:rPr lang="en-US" sz="1200" b="0" i="0" u="none" strike="noStrike" kern="1200">
              <a:solidFill>
                <a:srgbClr val="000000"/>
              </a:solidFill>
              <a:latin typeface="Calibri"/>
              <a:ea typeface="Calibri"/>
              <a:cs typeface="Calibri"/>
            </a:rPr>
            <a:pPr algn="l"/>
            <a:t>Sentiment Negative Rate Overall</a:t>
          </a:fld>
          <a:endParaRPr lang="en-ID" sz="1400" kern="1200"/>
        </a:p>
      </xdr:txBody>
    </xdr:sp>
    <xdr:clientData/>
  </xdr:twoCellAnchor>
  <xdr:twoCellAnchor>
    <xdr:from>
      <xdr:col>7</xdr:col>
      <xdr:colOff>84667</xdr:colOff>
      <xdr:row>2</xdr:row>
      <xdr:rowOff>98776</xdr:rowOff>
    </xdr:from>
    <xdr:to>
      <xdr:col>16</xdr:col>
      <xdr:colOff>112889</xdr:colOff>
      <xdr:row>8</xdr:row>
      <xdr:rowOff>28222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45000" y="465665"/>
          <a:ext cx="6843889" cy="1030113"/>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800" kern="1200"/>
            <a:t>DASHBOARD ASPECT</a:t>
          </a:r>
          <a:r>
            <a:rPr lang="en-ID" sz="2800" kern="1200" baseline="0"/>
            <a:t> BASED SENTIMENT ANALYSIS</a:t>
          </a:r>
          <a:endParaRPr lang="en-ID" sz="2800" kern="1200"/>
        </a:p>
      </xdr:txBody>
    </xdr:sp>
    <xdr:clientData/>
  </xdr:twoCellAnchor>
  <xdr:twoCellAnchor>
    <xdr:from>
      <xdr:col>7</xdr:col>
      <xdr:colOff>201976</xdr:colOff>
      <xdr:row>10</xdr:row>
      <xdr:rowOff>118533</xdr:rowOff>
    </xdr:from>
    <xdr:to>
      <xdr:col>15</xdr:col>
      <xdr:colOff>587567</xdr:colOff>
      <xdr:row>22</xdr:row>
      <xdr:rowOff>108027</xdr:rowOff>
    </xdr:to>
    <xdr:graphicFrame macro="">
      <xdr:nvGraphicFramePr>
        <xdr:cNvPr id="10" name="Chart 9">
          <a:extLst>
            <a:ext uri="{FF2B5EF4-FFF2-40B4-BE49-F238E27FC236}">
              <a16:creationId xmlns:a16="http://schemas.microsoft.com/office/drawing/2014/main" id="{BAEDFBB9-3507-425D-896E-99777BCCA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320040</xdr:colOff>
          <xdr:row>10</xdr:row>
          <xdr:rowOff>60960</xdr:rowOff>
        </xdr:from>
        <xdr:to>
          <xdr:col>23</xdr:col>
          <xdr:colOff>464820</xdr:colOff>
          <xdr:row>12</xdr:row>
          <xdr:rowOff>15240</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693420</xdr:colOff>
          <xdr:row>8</xdr:row>
          <xdr:rowOff>167640</xdr:rowOff>
        </xdr:from>
        <xdr:to>
          <xdr:col>11</xdr:col>
          <xdr:colOff>7620</xdr:colOff>
          <xdr:row>10</xdr:row>
          <xdr:rowOff>22860</xdr:rowOff>
        </xdr:to>
        <xdr:sp macro="" textlink="">
          <xdr:nvSpPr>
            <xdr:cNvPr id="7399" name="Drop Down 231" hidden="1">
              <a:extLst>
                <a:ext uri="{63B3BB69-23CF-44E3-9099-C40C66FF867C}">
                  <a14:compatExt spid="_x0000_s7399"/>
                </a:ext>
                <a:ext uri="{FF2B5EF4-FFF2-40B4-BE49-F238E27FC236}">
                  <a16:creationId xmlns:a16="http://schemas.microsoft.com/office/drawing/2014/main" id="{00000000-0008-0000-0000-0000E7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177800</xdr:colOff>
      <xdr:row>8</xdr:row>
      <xdr:rowOff>110067</xdr:rowOff>
    </xdr:from>
    <xdr:to>
      <xdr:col>9</xdr:col>
      <xdr:colOff>38456</xdr:colOff>
      <xdr:row>10</xdr:row>
      <xdr:rowOff>42867</xdr:rowOff>
    </xdr:to>
    <xdr:sp macro="" textlink="">
      <xdr:nvSpPr>
        <xdr:cNvPr id="16" name="TextBox 15">
          <a:extLst>
            <a:ext uri="{FF2B5EF4-FFF2-40B4-BE49-F238E27FC236}">
              <a16:creationId xmlns:a16="http://schemas.microsoft.com/office/drawing/2014/main" id="{96A5F040-98D8-41A6-A592-C4AD54557B1F}"/>
            </a:ext>
          </a:extLst>
        </xdr:cNvPr>
        <xdr:cNvSpPr txBox="1"/>
      </xdr:nvSpPr>
      <xdr:spPr>
        <a:xfrm>
          <a:off x="4563533" y="1600200"/>
          <a:ext cx="1443923" cy="305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Period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429595</xdr:colOff>
      <xdr:row>35</xdr:row>
      <xdr:rowOff>85332</xdr:rowOff>
    </xdr:from>
    <xdr:to>
      <xdr:col>60</xdr:col>
      <xdr:colOff>1115391</xdr:colOff>
      <xdr:row>60</xdr:row>
      <xdr:rowOff>154609</xdr:rowOff>
    </xdr:to>
    <xdr:graphicFrame macro="">
      <xdr:nvGraphicFramePr>
        <xdr:cNvPr id="3" name="Chart 2">
          <a:extLst>
            <a:ext uri="{FF2B5EF4-FFF2-40B4-BE49-F238E27FC236}">
              <a16:creationId xmlns:a16="http://schemas.microsoft.com/office/drawing/2014/main" id="{879EC885-F6E5-4164-B347-38CF05C2A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ha Tegar" refreshedDate="45636.697376736112" createdVersion="8" refreshedVersion="8" minRefreshableVersion="3" recordCount="135" xr:uid="{D535D6A0-6B17-4D12-A7F0-555FC295F50C}">
  <cacheSource type="worksheet">
    <worksheetSource name="TableTrend"/>
  </cacheSource>
  <cacheFields count="13">
    <cacheField name="topic" numFmtId="0">
      <sharedItems/>
    </cacheField>
    <cacheField name="review_time" numFmtId="164">
      <sharedItems containsSemiMixedTypes="0" containsNonDate="0" containsDate="1" containsString="0" minDate="2013-04-18T00:00:00" maxDate="2024-12-04T00:00:00" count="94">
        <d v="2013-04-18T00:00:00"/>
        <d v="2013-12-08T00:00:00"/>
        <d v="2013-12-19T00:00:00"/>
        <d v="2014-07-27T00:00:00"/>
        <d v="2014-09-21T00:00:00"/>
        <d v="2014-10-03T00:00:00"/>
        <d v="2015-06-18T00:00:00"/>
        <d v="2015-11-02T00:00:00"/>
        <d v="2016-03-01T00:00:00"/>
        <d v="2016-07-31T00:00:00"/>
        <d v="2016-08-21T00:00:00"/>
        <d v="2016-10-06T00:00:00"/>
        <d v="2016-10-20T00:00:00"/>
        <d v="2016-11-07T00:00:00"/>
        <d v="2016-11-23T00:00:00"/>
        <d v="2016-11-29T00:00:00"/>
        <d v="2017-01-06T00:00:00"/>
        <d v="2017-01-16T00:00:00"/>
        <d v="2017-02-13T00:00:00"/>
        <d v="2017-03-25T00:00:00"/>
        <d v="2017-05-04T00:00:00"/>
        <d v="2017-07-20T00:00:00"/>
        <d v="2017-07-27T00:00:00"/>
        <d v="2017-07-29T00:00:00"/>
        <d v="2017-09-20T00:00:00"/>
        <d v="2017-09-26T00:00:00"/>
        <d v="2017-11-03T00:00:00"/>
        <d v="2017-12-03T00:00:00"/>
        <d v="2018-01-29T00:00:00"/>
        <d v="2018-02-12T00:00:00"/>
        <d v="2018-02-17T00:00:00"/>
        <d v="2018-02-27T00:00:00"/>
        <d v="2018-04-03T00:00:00"/>
        <d v="2018-04-30T00:00:00"/>
        <d v="2018-06-20T00:00:00"/>
        <d v="2018-07-07T00:00:00"/>
        <d v="2018-08-31T00:00:00"/>
        <d v="2018-11-18T00:00:00"/>
        <d v="2018-11-20T00:00:00"/>
        <d v="2018-12-03T00:00:00"/>
        <d v="2018-12-29T00:00:00"/>
        <d v="2019-01-07T00:00:00"/>
        <d v="2019-01-28T00:00:00"/>
        <d v="2019-02-01T00:00:00"/>
        <d v="2019-02-06T00:00:00"/>
        <d v="2019-02-22T00:00:00"/>
        <d v="2019-02-24T00:00:00"/>
        <d v="2019-02-26T00:00:00"/>
        <d v="2019-03-13T00:00:00"/>
        <d v="2019-03-16T00:00:00"/>
        <d v="2019-03-27T00:00:00"/>
        <d v="2019-04-02T00:00:00"/>
        <d v="2019-04-03T00:00:00"/>
        <d v="2019-05-15T00:00:00"/>
        <d v="2019-05-16T00:00:00"/>
        <d v="2019-05-17T00:00:00"/>
        <d v="2019-06-05T00:00:00"/>
        <d v="2019-06-13T00:00:00"/>
        <d v="2019-06-22T00:00:00"/>
        <d v="2019-08-02T00:00:00"/>
        <d v="2019-08-11T00:00:00"/>
        <d v="2019-08-12T00:00:00"/>
        <d v="2019-08-26T00:00:00"/>
        <d v="2019-08-27T00:00:00"/>
        <d v="2019-08-28T00:00:00"/>
        <d v="2019-10-08T00:00:00"/>
        <d v="2019-10-13T00:00:00"/>
        <d v="2019-10-24T00:00:00"/>
        <d v="2019-10-27T00:00:00"/>
        <d v="2019-11-05T00:00:00"/>
        <d v="2019-11-06T00:00:00"/>
        <d v="2019-11-08T00:00:00"/>
        <d v="2019-11-14T00:00:00"/>
        <d v="2019-12-08T00:00:00"/>
        <d v="2019-12-12T00:00:00"/>
        <d v="2019-12-14T00:00:00"/>
        <d v="2019-12-06T00:00:00" u="1"/>
        <d v="2020-12-06T00:00:00" u="1"/>
        <d v="2021-12-06T00:00:00" u="1"/>
        <d v="2022-12-06T00:00:00" u="1"/>
        <d v="2023-12-06T00:00:00" u="1"/>
        <d v="2024-01-06T00:00:00" u="1"/>
        <d v="2024-02-06T00:00:00" u="1"/>
        <d v="2024-03-06T00:00:00" u="1"/>
        <d v="2024-04-06T00:00:00" u="1"/>
        <d v="2024-05-06T00:00:00" u="1"/>
        <d v="2024-06-06T00:00:00" u="1"/>
        <d v="2024-07-06T00:00:00" u="1"/>
        <d v="2024-08-06T00:00:00" u="1"/>
        <d v="2024-09-06T00:00:00" u="1"/>
        <d v="2024-10-06T00:00:00" u="1"/>
        <d v="2024-11-06T00:00:00" u="1"/>
        <d v="2024-12-01T00:00:00" u="1"/>
        <d v="2024-12-03T00:00:00" u="1"/>
      </sharedItems>
      <fieldGroup par="12"/>
    </cacheField>
    <cacheField name="year" numFmtId="164">
      <sharedItems containsSemiMixedTypes="0" containsNonDate="0" containsDate="1" containsString="0" minDate="2013-01-01T00:00:00" maxDate="2019-01-02T00:00:00"/>
    </cacheField>
    <cacheField name="month" numFmtId="164">
      <sharedItems containsSemiMixedTypes="0" containsNonDate="0" containsDate="1" containsString="0" minDate="2013-04-01T00:00:00" maxDate="2019-12-02T00:00:00"/>
    </cacheField>
    <cacheField name="rating_sum" numFmtId="0">
      <sharedItems containsSemiMixedTypes="0" containsString="0" containsNumber="1" containsInteger="1" minValue="1" maxValue="20"/>
    </cacheField>
    <cacheField name="rating_count" numFmtId="0">
      <sharedItems containsSemiMixedTypes="0" containsString="0" containsNumber="1" containsInteger="1" minValue="1" maxValue="4"/>
    </cacheField>
    <cacheField name="negative" numFmtId="0">
      <sharedItems containsSemiMixedTypes="0" containsString="0" containsNumber="1" containsInteger="1" minValue="0" maxValue="3"/>
    </cacheField>
    <cacheField name="neutral" numFmtId="0">
      <sharedItems containsSemiMixedTypes="0" containsString="0" containsNumber="1" containsInteger="1" minValue="0" maxValue="2"/>
    </cacheField>
    <cacheField name="positive" numFmtId="0">
      <sharedItems containsSemiMixedTypes="0" containsString="0" containsNumber="1" containsInteger="1" minValue="0" maxValue="3"/>
    </cacheField>
    <cacheField name="total" numFmtId="0">
      <sharedItems containsSemiMixedTypes="0" containsString="0" containsNumber="1" containsInteger="1" minValue="1" maxValue="4"/>
    </cacheField>
    <cacheField name="Months (review_time)" numFmtId="0" databaseField="0">
      <fieldGroup base="1">
        <rangePr groupBy="months" startDate="2013-04-18T00:00:00" endDate="2019-12-15T00:00:00"/>
        <groupItems count="14">
          <s v="&lt;18/04/2013"/>
          <s v="Jan"/>
          <s v="Feb"/>
          <s v="Mar"/>
          <s v="Apr"/>
          <s v="May"/>
          <s v="Jun"/>
          <s v="Jul"/>
          <s v="Aug"/>
          <s v="Sep"/>
          <s v="Oct"/>
          <s v="Nov"/>
          <s v="Dec"/>
          <s v="&gt;15/12/2019"/>
        </groupItems>
      </fieldGroup>
    </cacheField>
    <cacheField name="Quarters (review_time)" numFmtId="0" databaseField="0">
      <fieldGroup base="1">
        <rangePr groupBy="quarters" startDate="2013-04-18T00:00:00" endDate="2019-12-15T00:00:00"/>
        <groupItems count="6">
          <s v="&lt;18/04/2013"/>
          <s v="Qtr1"/>
          <s v="Qtr2"/>
          <s v="Qtr3"/>
          <s v="Qtr4"/>
          <s v="&gt;15/12/2019"/>
        </groupItems>
      </fieldGroup>
    </cacheField>
    <cacheField name="Years (review_time)" numFmtId="0" databaseField="0">
      <fieldGroup base="1">
        <rangePr groupBy="years" startDate="2013-04-18T00:00:00" endDate="2019-12-15T00:00:00"/>
        <groupItems count="9">
          <s v="&lt;18/04/2013"/>
          <s v="2013"/>
          <s v="2014"/>
          <s v="2015"/>
          <s v="2016"/>
          <s v="2017"/>
          <s v="2018"/>
          <s v="2019"/>
          <s v="&gt;15/12/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s v="Miscellaneous"/>
    <x v="0"/>
    <d v="2013-01-01T00:00:00"/>
    <d v="2013-04-01T00:00:00"/>
    <n v="6"/>
    <n v="2"/>
    <n v="0"/>
    <n v="0"/>
    <n v="2"/>
    <n v="2"/>
  </r>
  <r>
    <s v="Software and Operating Systems"/>
    <x v="1"/>
    <d v="2013-01-01T00:00:00"/>
    <d v="2013-12-01T00:00:00"/>
    <n v="20"/>
    <n v="4"/>
    <n v="0"/>
    <n v="2"/>
    <n v="2"/>
    <n v="4"/>
  </r>
  <r>
    <s v="Performance and Speed"/>
    <x v="1"/>
    <d v="2013-01-01T00:00:00"/>
    <d v="2013-12-01T00:00:00"/>
    <n v="5"/>
    <n v="1"/>
    <n v="0"/>
    <n v="0"/>
    <n v="1"/>
    <n v="1"/>
  </r>
  <r>
    <s v="Hardware Features and Design"/>
    <x v="2"/>
    <d v="2013-01-01T00:00:00"/>
    <d v="2013-12-01T00:00:00"/>
    <n v="1"/>
    <n v="1"/>
    <n v="1"/>
    <n v="0"/>
    <n v="0"/>
    <n v="1"/>
  </r>
  <r>
    <s v="Brand and Model Specifics"/>
    <x v="3"/>
    <d v="2014-01-01T00:00:00"/>
    <d v="2014-07-01T00:00:00"/>
    <n v="5"/>
    <n v="1"/>
    <n v="0"/>
    <n v="0"/>
    <n v="1"/>
    <n v="1"/>
  </r>
  <r>
    <s v="Hardware Features and Design"/>
    <x v="4"/>
    <d v="2014-01-01T00:00:00"/>
    <d v="2014-09-01T00:00:00"/>
    <n v="1"/>
    <n v="1"/>
    <n v="1"/>
    <n v="0"/>
    <n v="0"/>
    <n v="1"/>
  </r>
  <r>
    <s v="Miscellaneous"/>
    <x v="4"/>
    <d v="2014-01-01T00:00:00"/>
    <d v="2014-09-01T00:00:00"/>
    <n v="2"/>
    <n v="2"/>
    <n v="2"/>
    <n v="0"/>
    <n v="0"/>
    <n v="2"/>
  </r>
  <r>
    <s v="Performance and Speed"/>
    <x v="5"/>
    <d v="2014-01-01T00:00:00"/>
    <d v="2014-10-01T00:00:00"/>
    <n v="5"/>
    <n v="1"/>
    <n v="0"/>
    <n v="0"/>
    <n v="1"/>
    <n v="1"/>
  </r>
  <r>
    <s v="Connectivity and Network"/>
    <x v="5"/>
    <d v="2014-01-01T00:00:00"/>
    <d v="2014-10-01T00:00:00"/>
    <n v="5"/>
    <n v="1"/>
    <n v="0"/>
    <n v="0"/>
    <n v="1"/>
    <n v="1"/>
  </r>
  <r>
    <s v="Software and Operating Systems"/>
    <x v="5"/>
    <d v="2014-01-01T00:00:00"/>
    <d v="2014-10-01T00:00:00"/>
    <n v="10"/>
    <n v="2"/>
    <n v="0"/>
    <n v="0"/>
    <n v="2"/>
    <n v="2"/>
  </r>
  <r>
    <s v="Pricing and Value"/>
    <x v="6"/>
    <d v="2015-01-01T00:00:00"/>
    <d v="2015-06-01T00:00:00"/>
    <n v="5"/>
    <n v="1"/>
    <n v="0"/>
    <n v="0"/>
    <n v="1"/>
    <n v="1"/>
  </r>
  <r>
    <s v="Miscellaneous"/>
    <x v="6"/>
    <d v="2015-01-01T00:00:00"/>
    <d v="2015-06-01T00:00:00"/>
    <n v="5"/>
    <n v="1"/>
    <n v="0"/>
    <n v="0"/>
    <n v="1"/>
    <n v="1"/>
  </r>
  <r>
    <s v="Miscellaneous"/>
    <x v="7"/>
    <d v="2015-01-01T00:00:00"/>
    <d v="2015-11-01T00:00:00"/>
    <n v="4"/>
    <n v="1"/>
    <n v="0"/>
    <n v="0"/>
    <n v="1"/>
    <n v="1"/>
  </r>
  <r>
    <s v="Miscellaneous"/>
    <x v="8"/>
    <d v="2016-01-01T00:00:00"/>
    <d v="2016-03-01T00:00:00"/>
    <n v="1"/>
    <n v="1"/>
    <n v="1"/>
    <n v="0"/>
    <n v="0"/>
    <n v="1"/>
  </r>
  <r>
    <s v="Miscellaneous"/>
    <x v="9"/>
    <d v="2016-01-01T00:00:00"/>
    <d v="2016-07-01T00:00:00"/>
    <n v="5"/>
    <n v="1"/>
    <n v="0"/>
    <n v="0"/>
    <n v="1"/>
    <n v="1"/>
  </r>
  <r>
    <s v="Miscellaneous"/>
    <x v="10"/>
    <d v="2016-01-01T00:00:00"/>
    <d v="2016-08-01T00:00:00"/>
    <n v="6"/>
    <n v="3"/>
    <n v="0"/>
    <n v="1"/>
    <n v="2"/>
    <n v="3"/>
  </r>
  <r>
    <s v="Hardware Features and Design"/>
    <x v="10"/>
    <d v="2016-01-01T00:00:00"/>
    <d v="2016-08-01T00:00:00"/>
    <n v="2"/>
    <n v="1"/>
    <n v="0"/>
    <n v="0"/>
    <n v="1"/>
    <n v="1"/>
  </r>
  <r>
    <s v="Design and Aesthetics"/>
    <x v="10"/>
    <d v="2016-01-01T00:00:00"/>
    <d v="2016-08-01T00:00:00"/>
    <n v="2"/>
    <n v="1"/>
    <n v="0"/>
    <n v="0"/>
    <n v="1"/>
    <n v="1"/>
  </r>
  <r>
    <s v="Software and Operating Systems"/>
    <x v="10"/>
    <d v="2016-01-01T00:00:00"/>
    <d v="2016-08-01T00:00:00"/>
    <n v="2"/>
    <n v="1"/>
    <n v="0"/>
    <n v="0"/>
    <n v="1"/>
    <n v="1"/>
  </r>
  <r>
    <s v="Brand and Model Specifics"/>
    <x v="10"/>
    <d v="2016-01-01T00:00:00"/>
    <d v="2016-08-01T00:00:00"/>
    <n v="2"/>
    <n v="1"/>
    <n v="0"/>
    <n v="0"/>
    <n v="1"/>
    <n v="1"/>
  </r>
  <r>
    <s v="Miscellaneous"/>
    <x v="11"/>
    <d v="2016-01-01T00:00:00"/>
    <d v="2016-10-01T00:00:00"/>
    <n v="2"/>
    <n v="1"/>
    <n v="1"/>
    <n v="0"/>
    <n v="0"/>
    <n v="1"/>
  </r>
  <r>
    <s v="Hardware Features and Design"/>
    <x v="11"/>
    <d v="2016-01-01T00:00:00"/>
    <d v="2016-10-01T00:00:00"/>
    <n v="2"/>
    <n v="1"/>
    <n v="1"/>
    <n v="0"/>
    <n v="0"/>
    <n v="1"/>
  </r>
  <r>
    <s v="Miscellaneous"/>
    <x v="12"/>
    <d v="2016-01-01T00:00:00"/>
    <d v="2016-10-01T00:00:00"/>
    <n v="1"/>
    <n v="1"/>
    <n v="1"/>
    <n v="0"/>
    <n v="0"/>
    <n v="1"/>
  </r>
  <r>
    <s v="Hardware Features and Design"/>
    <x v="13"/>
    <d v="2016-01-01T00:00:00"/>
    <d v="2016-11-01T00:00:00"/>
    <n v="5"/>
    <n v="1"/>
    <n v="0"/>
    <n v="0"/>
    <n v="1"/>
    <n v="1"/>
  </r>
  <r>
    <s v="Brand and Model Specifics"/>
    <x v="14"/>
    <d v="2016-01-01T00:00:00"/>
    <d v="2016-11-01T00:00:00"/>
    <n v="1"/>
    <n v="1"/>
    <n v="1"/>
    <n v="0"/>
    <n v="0"/>
    <n v="1"/>
  </r>
  <r>
    <s v="Miscellaneous"/>
    <x v="15"/>
    <d v="2016-01-01T00:00:00"/>
    <d v="2016-11-01T00:00:00"/>
    <n v="5"/>
    <n v="1"/>
    <n v="0"/>
    <n v="0"/>
    <n v="1"/>
    <n v="1"/>
  </r>
  <r>
    <s v="Software and Operating Systems"/>
    <x v="16"/>
    <d v="2017-01-01T00:00:00"/>
    <d v="2017-01-01T00:00:00"/>
    <n v="4"/>
    <n v="1"/>
    <n v="0"/>
    <n v="1"/>
    <n v="0"/>
    <n v="1"/>
  </r>
  <r>
    <s v="Hardware Features and Design"/>
    <x v="17"/>
    <d v="2017-01-01T00:00:00"/>
    <d v="2017-01-01T00:00:00"/>
    <n v="3"/>
    <n v="1"/>
    <n v="1"/>
    <n v="0"/>
    <n v="0"/>
    <n v="1"/>
  </r>
  <r>
    <s v="Miscellaneous"/>
    <x v="17"/>
    <d v="2017-01-01T00:00:00"/>
    <d v="2017-01-01T00:00:00"/>
    <n v="3"/>
    <n v="1"/>
    <n v="0"/>
    <n v="0"/>
    <n v="1"/>
    <n v="1"/>
  </r>
  <r>
    <s v="Miscellaneous"/>
    <x v="18"/>
    <d v="2017-01-01T00:00:00"/>
    <d v="2017-02-01T00:00:00"/>
    <n v="4"/>
    <n v="1"/>
    <n v="0"/>
    <n v="0"/>
    <n v="1"/>
    <n v="1"/>
  </r>
  <r>
    <s v="Miscellaneous"/>
    <x v="19"/>
    <d v="2017-01-01T00:00:00"/>
    <d v="2017-03-01T00:00:00"/>
    <n v="5"/>
    <n v="1"/>
    <n v="0"/>
    <n v="0"/>
    <n v="1"/>
    <n v="1"/>
  </r>
  <r>
    <s v="Miscellaneous"/>
    <x v="20"/>
    <d v="2017-01-01T00:00:00"/>
    <d v="2017-05-01T00:00:00"/>
    <n v="5"/>
    <n v="1"/>
    <n v="0"/>
    <n v="0"/>
    <n v="1"/>
    <n v="1"/>
  </r>
  <r>
    <s v="Customer Service and Experience"/>
    <x v="20"/>
    <d v="2017-01-01T00:00:00"/>
    <d v="2017-05-01T00:00:00"/>
    <n v="5"/>
    <n v="1"/>
    <n v="0"/>
    <n v="0"/>
    <n v="1"/>
    <n v="1"/>
  </r>
  <r>
    <s v="Connectivity and Network"/>
    <x v="21"/>
    <d v="2017-01-01T00:00:00"/>
    <d v="2017-07-01T00:00:00"/>
    <n v="10"/>
    <n v="2"/>
    <n v="0"/>
    <n v="0"/>
    <n v="2"/>
    <n v="2"/>
  </r>
  <r>
    <s v="Design and Aesthetics"/>
    <x v="21"/>
    <d v="2017-01-01T00:00:00"/>
    <d v="2017-07-01T00:00:00"/>
    <n v="5"/>
    <n v="1"/>
    <n v="0"/>
    <n v="0"/>
    <n v="1"/>
    <n v="1"/>
  </r>
  <r>
    <s v="Brand and Model Specifics"/>
    <x v="21"/>
    <d v="2017-01-01T00:00:00"/>
    <d v="2017-07-01T00:00:00"/>
    <n v="5"/>
    <n v="1"/>
    <n v="0"/>
    <n v="0"/>
    <n v="1"/>
    <n v="1"/>
  </r>
  <r>
    <s v="Hardware Features and Design"/>
    <x v="21"/>
    <d v="2017-01-01T00:00:00"/>
    <d v="2017-07-01T00:00:00"/>
    <n v="5"/>
    <n v="1"/>
    <n v="0"/>
    <n v="0"/>
    <n v="1"/>
    <n v="1"/>
  </r>
  <r>
    <s v="Pricing and Value"/>
    <x v="21"/>
    <d v="2017-01-01T00:00:00"/>
    <d v="2017-07-01T00:00:00"/>
    <n v="5"/>
    <n v="1"/>
    <n v="0"/>
    <n v="0"/>
    <n v="1"/>
    <n v="1"/>
  </r>
  <r>
    <s v="Miscellaneous"/>
    <x v="22"/>
    <d v="2017-01-01T00:00:00"/>
    <d v="2017-07-01T00:00:00"/>
    <n v="5"/>
    <n v="1"/>
    <n v="0"/>
    <n v="0"/>
    <n v="1"/>
    <n v="1"/>
  </r>
  <r>
    <s v="Miscellaneous"/>
    <x v="23"/>
    <d v="2017-01-01T00:00:00"/>
    <d v="2017-07-01T00:00:00"/>
    <n v="10"/>
    <n v="2"/>
    <n v="0"/>
    <n v="0"/>
    <n v="2"/>
    <n v="2"/>
  </r>
  <r>
    <s v="Miscellaneous"/>
    <x v="24"/>
    <d v="2017-01-01T00:00:00"/>
    <d v="2017-09-01T00:00:00"/>
    <n v="10"/>
    <n v="2"/>
    <n v="0"/>
    <n v="0"/>
    <n v="2"/>
    <n v="2"/>
  </r>
  <r>
    <s v="Software and Operating Systems"/>
    <x v="24"/>
    <d v="2017-01-01T00:00:00"/>
    <d v="2017-09-01T00:00:00"/>
    <n v="5"/>
    <n v="1"/>
    <n v="0"/>
    <n v="0"/>
    <n v="1"/>
    <n v="1"/>
  </r>
  <r>
    <s v="Pricing and Value"/>
    <x v="24"/>
    <d v="2017-01-01T00:00:00"/>
    <d v="2017-09-01T00:00:00"/>
    <n v="5"/>
    <n v="1"/>
    <n v="0"/>
    <n v="0"/>
    <n v="1"/>
    <n v="1"/>
  </r>
  <r>
    <s v="Hardware Features and Design"/>
    <x v="25"/>
    <d v="2017-01-01T00:00:00"/>
    <d v="2017-09-01T00:00:00"/>
    <n v="10"/>
    <n v="2"/>
    <n v="0"/>
    <n v="0"/>
    <n v="2"/>
    <n v="2"/>
  </r>
  <r>
    <s v="Performance and Speed"/>
    <x v="25"/>
    <d v="2017-01-01T00:00:00"/>
    <d v="2017-09-01T00:00:00"/>
    <n v="10"/>
    <n v="2"/>
    <n v="0"/>
    <n v="0"/>
    <n v="2"/>
    <n v="2"/>
  </r>
  <r>
    <s v="Miscellaneous"/>
    <x v="25"/>
    <d v="2017-01-01T00:00:00"/>
    <d v="2017-09-01T00:00:00"/>
    <n v="15"/>
    <n v="3"/>
    <n v="0"/>
    <n v="0"/>
    <n v="3"/>
    <n v="3"/>
  </r>
  <r>
    <s v="Miscellaneous"/>
    <x v="26"/>
    <d v="2017-01-01T00:00:00"/>
    <d v="2017-11-01T00:00:00"/>
    <n v="4"/>
    <n v="1"/>
    <n v="1"/>
    <n v="0"/>
    <n v="0"/>
    <n v="1"/>
  </r>
  <r>
    <s v="Connectivity and Network"/>
    <x v="27"/>
    <d v="2017-01-01T00:00:00"/>
    <d v="2017-12-01T00:00:00"/>
    <n v="2"/>
    <n v="2"/>
    <n v="2"/>
    <n v="0"/>
    <n v="0"/>
    <n v="2"/>
  </r>
  <r>
    <s v="Customer Service and Experience"/>
    <x v="28"/>
    <d v="2018-01-01T00:00:00"/>
    <d v="2018-01-01T00:00:00"/>
    <n v="1"/>
    <n v="1"/>
    <n v="1"/>
    <n v="0"/>
    <n v="0"/>
    <n v="1"/>
  </r>
  <r>
    <s v="Hardware Features and Design"/>
    <x v="28"/>
    <d v="2018-01-01T00:00:00"/>
    <d v="2018-01-01T00:00:00"/>
    <n v="1"/>
    <n v="1"/>
    <n v="1"/>
    <n v="0"/>
    <n v="0"/>
    <n v="1"/>
  </r>
  <r>
    <s v="Hardware Features and Design"/>
    <x v="29"/>
    <d v="2018-01-01T00:00:00"/>
    <d v="2018-02-01T00:00:00"/>
    <n v="8"/>
    <n v="4"/>
    <n v="3"/>
    <n v="0"/>
    <n v="1"/>
    <n v="4"/>
  </r>
  <r>
    <s v="Connectivity and Network"/>
    <x v="29"/>
    <d v="2018-01-01T00:00:00"/>
    <d v="2018-02-01T00:00:00"/>
    <n v="2"/>
    <n v="1"/>
    <n v="1"/>
    <n v="0"/>
    <n v="0"/>
    <n v="1"/>
  </r>
  <r>
    <s v="Miscellaneous"/>
    <x v="29"/>
    <d v="2018-01-01T00:00:00"/>
    <d v="2018-02-01T00:00:00"/>
    <n v="2"/>
    <n v="1"/>
    <n v="1"/>
    <n v="0"/>
    <n v="0"/>
    <n v="1"/>
  </r>
  <r>
    <s v="Connectivity and Network"/>
    <x v="30"/>
    <d v="2018-01-01T00:00:00"/>
    <d v="2018-02-01T00:00:00"/>
    <n v="4"/>
    <n v="1"/>
    <n v="1"/>
    <n v="0"/>
    <n v="0"/>
    <n v="1"/>
  </r>
  <r>
    <s v="Customer Service and Experience"/>
    <x v="30"/>
    <d v="2018-01-01T00:00:00"/>
    <d v="2018-02-01T00:00:00"/>
    <n v="4"/>
    <n v="1"/>
    <n v="1"/>
    <n v="0"/>
    <n v="0"/>
    <n v="1"/>
  </r>
  <r>
    <s v="Brand and Model Specifics"/>
    <x v="31"/>
    <d v="2018-01-01T00:00:00"/>
    <d v="2018-02-01T00:00:00"/>
    <n v="2"/>
    <n v="1"/>
    <n v="0"/>
    <n v="0"/>
    <n v="1"/>
    <n v="1"/>
  </r>
  <r>
    <s v="Miscellaneous"/>
    <x v="32"/>
    <d v="2018-01-01T00:00:00"/>
    <d v="2018-04-01T00:00:00"/>
    <n v="1"/>
    <n v="1"/>
    <n v="0"/>
    <n v="1"/>
    <n v="0"/>
    <n v="1"/>
  </r>
  <r>
    <s v="Miscellaneous"/>
    <x v="33"/>
    <d v="2018-01-01T00:00:00"/>
    <d v="2018-04-01T00:00:00"/>
    <n v="2"/>
    <n v="1"/>
    <n v="1"/>
    <n v="0"/>
    <n v="0"/>
    <n v="1"/>
  </r>
  <r>
    <s v="Miscellaneous"/>
    <x v="34"/>
    <d v="2018-01-01T00:00:00"/>
    <d v="2018-06-01T00:00:00"/>
    <n v="3"/>
    <n v="1"/>
    <n v="1"/>
    <n v="0"/>
    <n v="0"/>
    <n v="1"/>
  </r>
  <r>
    <s v="Customer Service and Experience"/>
    <x v="35"/>
    <d v="2018-01-01T00:00:00"/>
    <d v="2018-07-01T00:00:00"/>
    <n v="2"/>
    <n v="1"/>
    <n v="0"/>
    <n v="1"/>
    <n v="0"/>
    <n v="1"/>
  </r>
  <r>
    <s v="Miscellaneous"/>
    <x v="36"/>
    <d v="2018-01-01T00:00:00"/>
    <d v="2018-08-01T00:00:00"/>
    <n v="11"/>
    <n v="3"/>
    <n v="0"/>
    <n v="0"/>
    <n v="3"/>
    <n v="3"/>
  </r>
  <r>
    <s v="Software and Operating Systems"/>
    <x v="36"/>
    <d v="2018-01-01T00:00:00"/>
    <d v="2018-08-01T00:00:00"/>
    <n v="5"/>
    <n v="1"/>
    <n v="1"/>
    <n v="0"/>
    <n v="0"/>
    <n v="1"/>
  </r>
  <r>
    <s v="Miscellaneous"/>
    <x v="37"/>
    <d v="2018-01-01T00:00:00"/>
    <d v="2018-11-01T00:00:00"/>
    <n v="5"/>
    <n v="1"/>
    <n v="0"/>
    <n v="0"/>
    <n v="1"/>
    <n v="1"/>
  </r>
  <r>
    <s v="Hardware Features and Design"/>
    <x v="38"/>
    <d v="2018-01-01T00:00:00"/>
    <d v="2018-11-01T00:00:00"/>
    <n v="3"/>
    <n v="1"/>
    <n v="1"/>
    <n v="0"/>
    <n v="0"/>
    <n v="1"/>
  </r>
  <r>
    <s v="Miscellaneous"/>
    <x v="38"/>
    <d v="2018-01-01T00:00:00"/>
    <d v="2018-11-01T00:00:00"/>
    <n v="6"/>
    <n v="2"/>
    <n v="2"/>
    <n v="0"/>
    <n v="0"/>
    <n v="2"/>
  </r>
  <r>
    <s v="Hardware Features and Design"/>
    <x v="39"/>
    <d v="2018-01-01T00:00:00"/>
    <d v="2018-12-01T00:00:00"/>
    <n v="1"/>
    <n v="1"/>
    <n v="1"/>
    <n v="0"/>
    <n v="0"/>
    <n v="1"/>
  </r>
  <r>
    <s v="Miscellaneous"/>
    <x v="39"/>
    <d v="2018-01-01T00:00:00"/>
    <d v="2018-12-01T00:00:00"/>
    <n v="1"/>
    <n v="1"/>
    <n v="0"/>
    <n v="0"/>
    <n v="1"/>
    <n v="1"/>
  </r>
  <r>
    <s v="Brand and Model Specifics"/>
    <x v="40"/>
    <d v="2018-01-01T00:00:00"/>
    <d v="2018-12-01T00:00:00"/>
    <n v="4"/>
    <n v="1"/>
    <n v="1"/>
    <n v="0"/>
    <n v="0"/>
    <n v="1"/>
  </r>
  <r>
    <s v="Software and Operating Systems"/>
    <x v="40"/>
    <d v="2018-01-01T00:00:00"/>
    <d v="2018-12-01T00:00:00"/>
    <n v="4"/>
    <n v="1"/>
    <n v="0"/>
    <n v="0"/>
    <n v="1"/>
    <n v="1"/>
  </r>
  <r>
    <s v="Hardware Features and Design"/>
    <x v="41"/>
    <d v="2019-01-01T00:00:00"/>
    <d v="2019-01-01T00:00:00"/>
    <n v="5"/>
    <n v="1"/>
    <n v="1"/>
    <n v="0"/>
    <n v="0"/>
    <n v="1"/>
  </r>
  <r>
    <s v="Miscellaneous"/>
    <x v="41"/>
    <d v="2019-01-01T00:00:00"/>
    <d v="2019-01-01T00:00:00"/>
    <n v="5"/>
    <n v="1"/>
    <n v="0"/>
    <n v="0"/>
    <n v="1"/>
    <n v="1"/>
  </r>
  <r>
    <s v="Brand and Model Specifics"/>
    <x v="42"/>
    <d v="2019-01-01T00:00:00"/>
    <d v="2019-01-01T00:00:00"/>
    <n v="1"/>
    <n v="1"/>
    <n v="0"/>
    <n v="1"/>
    <n v="0"/>
    <n v="1"/>
  </r>
  <r>
    <s v="Hardware Features and Design"/>
    <x v="43"/>
    <d v="2019-01-01T00:00:00"/>
    <d v="2019-02-01T00:00:00"/>
    <n v="10"/>
    <n v="2"/>
    <n v="0"/>
    <n v="0"/>
    <n v="2"/>
    <n v="2"/>
  </r>
  <r>
    <s v="Miscellaneous"/>
    <x v="43"/>
    <d v="2019-01-01T00:00:00"/>
    <d v="2019-02-01T00:00:00"/>
    <n v="5"/>
    <n v="1"/>
    <n v="0"/>
    <n v="0"/>
    <n v="1"/>
    <n v="1"/>
  </r>
  <r>
    <s v="Software and Operating Systems"/>
    <x v="43"/>
    <d v="2019-01-01T00:00:00"/>
    <d v="2019-02-01T00:00:00"/>
    <n v="10"/>
    <n v="2"/>
    <n v="2"/>
    <n v="0"/>
    <n v="0"/>
    <n v="2"/>
  </r>
  <r>
    <s v="Miscellaneous"/>
    <x v="44"/>
    <d v="2019-01-01T00:00:00"/>
    <d v="2019-02-01T00:00:00"/>
    <n v="5"/>
    <n v="1"/>
    <n v="0"/>
    <n v="0"/>
    <n v="1"/>
    <n v="1"/>
  </r>
  <r>
    <s v="Brand and Model Specifics"/>
    <x v="44"/>
    <d v="2019-01-01T00:00:00"/>
    <d v="2019-02-01T00:00:00"/>
    <n v="5"/>
    <n v="1"/>
    <n v="0"/>
    <n v="0"/>
    <n v="1"/>
    <n v="1"/>
  </r>
  <r>
    <s v="Hardware Features and Design"/>
    <x v="44"/>
    <d v="2019-01-01T00:00:00"/>
    <d v="2019-02-01T00:00:00"/>
    <n v="10"/>
    <n v="2"/>
    <n v="1"/>
    <n v="0"/>
    <n v="1"/>
    <n v="2"/>
  </r>
  <r>
    <s v="Pricing and Value"/>
    <x v="45"/>
    <d v="2019-01-01T00:00:00"/>
    <d v="2019-02-01T00:00:00"/>
    <n v="5"/>
    <n v="1"/>
    <n v="0"/>
    <n v="0"/>
    <n v="1"/>
    <n v="1"/>
  </r>
  <r>
    <s v="Software and Operating Systems"/>
    <x v="45"/>
    <d v="2019-01-01T00:00:00"/>
    <d v="2019-02-01T00:00:00"/>
    <n v="5"/>
    <n v="1"/>
    <n v="1"/>
    <n v="0"/>
    <n v="0"/>
    <n v="1"/>
  </r>
  <r>
    <s v="Performance and Speed"/>
    <x v="46"/>
    <d v="2019-01-01T00:00:00"/>
    <d v="2019-02-01T00:00:00"/>
    <n v="1"/>
    <n v="1"/>
    <n v="1"/>
    <n v="0"/>
    <n v="0"/>
    <n v="1"/>
  </r>
  <r>
    <s v="Miscellaneous"/>
    <x v="46"/>
    <d v="2019-01-01T00:00:00"/>
    <d v="2019-02-01T00:00:00"/>
    <n v="1"/>
    <n v="1"/>
    <n v="1"/>
    <n v="0"/>
    <n v="0"/>
    <n v="1"/>
  </r>
  <r>
    <s v="Hardware Features and Design"/>
    <x v="47"/>
    <d v="2019-01-01T00:00:00"/>
    <d v="2019-02-01T00:00:00"/>
    <n v="2"/>
    <n v="2"/>
    <n v="2"/>
    <n v="0"/>
    <n v="0"/>
    <n v="2"/>
  </r>
  <r>
    <s v="Hardware Features and Design"/>
    <x v="48"/>
    <d v="2019-01-01T00:00:00"/>
    <d v="2019-03-01T00:00:00"/>
    <n v="8"/>
    <n v="2"/>
    <n v="0"/>
    <n v="0"/>
    <n v="2"/>
    <n v="2"/>
  </r>
  <r>
    <s v="Pricing and Value"/>
    <x v="48"/>
    <d v="2019-01-01T00:00:00"/>
    <d v="2019-03-01T00:00:00"/>
    <n v="4"/>
    <n v="1"/>
    <n v="0"/>
    <n v="0"/>
    <n v="1"/>
    <n v="1"/>
  </r>
  <r>
    <s v="Connectivity and Network"/>
    <x v="48"/>
    <d v="2019-01-01T00:00:00"/>
    <d v="2019-03-01T00:00:00"/>
    <n v="4"/>
    <n v="1"/>
    <n v="1"/>
    <n v="0"/>
    <n v="0"/>
    <n v="1"/>
  </r>
  <r>
    <s v="Miscellaneous"/>
    <x v="48"/>
    <d v="2019-01-01T00:00:00"/>
    <d v="2019-03-01T00:00:00"/>
    <n v="4"/>
    <n v="1"/>
    <n v="0"/>
    <n v="0"/>
    <n v="1"/>
    <n v="1"/>
  </r>
  <r>
    <s v="Connectivity and Network"/>
    <x v="49"/>
    <d v="2019-01-01T00:00:00"/>
    <d v="2019-03-01T00:00:00"/>
    <n v="1"/>
    <n v="1"/>
    <n v="1"/>
    <n v="0"/>
    <n v="0"/>
    <n v="1"/>
  </r>
  <r>
    <s v="Hardware Features and Design"/>
    <x v="50"/>
    <d v="2019-01-01T00:00:00"/>
    <d v="2019-03-01T00:00:00"/>
    <n v="1"/>
    <n v="1"/>
    <n v="1"/>
    <n v="0"/>
    <n v="0"/>
    <n v="1"/>
  </r>
  <r>
    <s v="Miscellaneous"/>
    <x v="50"/>
    <d v="2019-01-01T00:00:00"/>
    <d v="2019-03-01T00:00:00"/>
    <n v="1"/>
    <n v="1"/>
    <n v="1"/>
    <n v="0"/>
    <n v="0"/>
    <n v="1"/>
  </r>
  <r>
    <s v="Pricing and Value"/>
    <x v="51"/>
    <d v="2019-01-01T00:00:00"/>
    <d v="2019-04-01T00:00:00"/>
    <n v="5"/>
    <n v="1"/>
    <n v="0"/>
    <n v="0"/>
    <n v="1"/>
    <n v="1"/>
  </r>
  <r>
    <s v="Miscellaneous"/>
    <x v="52"/>
    <d v="2019-01-01T00:00:00"/>
    <d v="2019-04-01T00:00:00"/>
    <n v="5"/>
    <n v="1"/>
    <n v="0"/>
    <n v="0"/>
    <n v="1"/>
    <n v="1"/>
  </r>
  <r>
    <s v="Hardware Features and Design"/>
    <x v="52"/>
    <d v="2019-01-01T00:00:00"/>
    <d v="2019-04-01T00:00:00"/>
    <n v="5"/>
    <n v="1"/>
    <n v="0"/>
    <n v="0"/>
    <n v="1"/>
    <n v="1"/>
  </r>
  <r>
    <s v="Design and Aesthetics"/>
    <x v="53"/>
    <d v="2019-01-01T00:00:00"/>
    <d v="2019-05-01T00:00:00"/>
    <n v="5"/>
    <n v="1"/>
    <n v="1"/>
    <n v="0"/>
    <n v="0"/>
    <n v="1"/>
  </r>
  <r>
    <s v="Pricing and Value"/>
    <x v="54"/>
    <d v="2019-01-01T00:00:00"/>
    <d v="2019-05-01T00:00:00"/>
    <n v="5"/>
    <n v="1"/>
    <n v="0"/>
    <n v="0"/>
    <n v="1"/>
    <n v="1"/>
  </r>
  <r>
    <s v="Miscellaneous"/>
    <x v="54"/>
    <d v="2019-01-01T00:00:00"/>
    <d v="2019-05-01T00:00:00"/>
    <n v="5"/>
    <n v="1"/>
    <n v="0"/>
    <n v="0"/>
    <n v="1"/>
    <n v="1"/>
  </r>
  <r>
    <s v="Brand and Model Specifics"/>
    <x v="55"/>
    <d v="2019-01-01T00:00:00"/>
    <d v="2019-05-01T00:00:00"/>
    <n v="5"/>
    <n v="1"/>
    <n v="0"/>
    <n v="0"/>
    <n v="1"/>
    <n v="1"/>
  </r>
  <r>
    <s v="Brand and Model Specifics"/>
    <x v="56"/>
    <d v="2019-01-01T00:00:00"/>
    <d v="2019-06-01T00:00:00"/>
    <n v="5"/>
    <n v="1"/>
    <n v="0"/>
    <n v="1"/>
    <n v="0"/>
    <n v="1"/>
  </r>
  <r>
    <s v="Miscellaneous"/>
    <x v="57"/>
    <d v="2019-01-01T00:00:00"/>
    <d v="2019-06-01T00:00:00"/>
    <n v="10"/>
    <n v="2"/>
    <n v="0"/>
    <n v="2"/>
    <n v="0"/>
    <n v="2"/>
  </r>
  <r>
    <s v="Software and Operating Systems"/>
    <x v="57"/>
    <d v="2019-01-01T00:00:00"/>
    <d v="2019-06-01T00:00:00"/>
    <n v="5"/>
    <n v="1"/>
    <n v="0"/>
    <n v="0"/>
    <n v="1"/>
    <n v="1"/>
  </r>
  <r>
    <s v="Hardware Features and Design"/>
    <x v="57"/>
    <d v="2019-01-01T00:00:00"/>
    <d v="2019-06-01T00:00:00"/>
    <n v="10"/>
    <n v="2"/>
    <n v="0"/>
    <n v="0"/>
    <n v="2"/>
    <n v="2"/>
  </r>
  <r>
    <s v="Pricing and Value"/>
    <x v="58"/>
    <d v="2019-01-01T00:00:00"/>
    <d v="2019-06-01T00:00:00"/>
    <n v="1"/>
    <n v="1"/>
    <n v="1"/>
    <n v="0"/>
    <n v="0"/>
    <n v="1"/>
  </r>
  <r>
    <s v="Connectivity and Network"/>
    <x v="58"/>
    <d v="2019-01-01T00:00:00"/>
    <d v="2019-06-01T00:00:00"/>
    <n v="1"/>
    <n v="1"/>
    <n v="1"/>
    <n v="0"/>
    <n v="0"/>
    <n v="1"/>
  </r>
  <r>
    <s v="Customer Service and Experience"/>
    <x v="58"/>
    <d v="2019-01-01T00:00:00"/>
    <d v="2019-06-01T00:00:00"/>
    <n v="1"/>
    <n v="1"/>
    <n v="0"/>
    <n v="0"/>
    <n v="1"/>
    <n v="1"/>
  </r>
  <r>
    <s v="Hardware Features and Design"/>
    <x v="59"/>
    <d v="2019-01-01T00:00:00"/>
    <d v="2019-08-01T00:00:00"/>
    <n v="6"/>
    <n v="2"/>
    <n v="2"/>
    <n v="0"/>
    <n v="0"/>
    <n v="2"/>
  </r>
  <r>
    <s v="Connectivity and Network"/>
    <x v="60"/>
    <d v="2019-01-01T00:00:00"/>
    <d v="2019-08-01T00:00:00"/>
    <n v="1"/>
    <n v="1"/>
    <n v="1"/>
    <n v="0"/>
    <n v="0"/>
    <n v="1"/>
  </r>
  <r>
    <s v="Customer Service and Experience"/>
    <x v="60"/>
    <d v="2019-01-01T00:00:00"/>
    <d v="2019-08-01T00:00:00"/>
    <n v="1"/>
    <n v="1"/>
    <n v="0"/>
    <n v="0"/>
    <n v="1"/>
    <n v="1"/>
  </r>
  <r>
    <s v="Miscellaneous"/>
    <x v="61"/>
    <d v="2019-01-01T00:00:00"/>
    <d v="2019-08-01T00:00:00"/>
    <n v="10"/>
    <n v="2"/>
    <n v="1"/>
    <n v="0"/>
    <n v="1"/>
    <n v="2"/>
  </r>
  <r>
    <s v="Hardware Features and Design"/>
    <x v="61"/>
    <d v="2019-01-01T00:00:00"/>
    <d v="2019-08-01T00:00:00"/>
    <n v="5"/>
    <n v="1"/>
    <n v="1"/>
    <n v="0"/>
    <n v="0"/>
    <n v="1"/>
  </r>
  <r>
    <s v="Miscellaneous"/>
    <x v="62"/>
    <d v="2019-01-01T00:00:00"/>
    <d v="2019-08-01T00:00:00"/>
    <n v="2"/>
    <n v="1"/>
    <n v="1"/>
    <n v="0"/>
    <n v="0"/>
    <n v="1"/>
  </r>
  <r>
    <s v="Hardware Features and Design"/>
    <x v="62"/>
    <d v="2019-01-01T00:00:00"/>
    <d v="2019-08-01T00:00:00"/>
    <n v="2"/>
    <n v="1"/>
    <n v="0"/>
    <n v="1"/>
    <n v="0"/>
    <n v="1"/>
  </r>
  <r>
    <s v="Connectivity and Network"/>
    <x v="62"/>
    <d v="2019-01-01T00:00:00"/>
    <d v="2019-08-01T00:00:00"/>
    <n v="4"/>
    <n v="2"/>
    <n v="2"/>
    <n v="0"/>
    <n v="0"/>
    <n v="2"/>
  </r>
  <r>
    <s v="Customer Service and Experience"/>
    <x v="62"/>
    <d v="2019-01-01T00:00:00"/>
    <d v="2019-08-01T00:00:00"/>
    <n v="2"/>
    <n v="1"/>
    <n v="1"/>
    <n v="0"/>
    <n v="0"/>
    <n v="1"/>
  </r>
  <r>
    <s v="Miscellaneous"/>
    <x v="63"/>
    <d v="2019-01-01T00:00:00"/>
    <d v="2019-08-01T00:00:00"/>
    <n v="3"/>
    <n v="1"/>
    <n v="1"/>
    <n v="0"/>
    <n v="0"/>
    <n v="1"/>
  </r>
  <r>
    <s v="Hardware Features and Design"/>
    <x v="64"/>
    <d v="2019-01-01T00:00:00"/>
    <d v="2019-08-01T00:00:00"/>
    <n v="1"/>
    <n v="1"/>
    <n v="1"/>
    <n v="0"/>
    <n v="0"/>
    <n v="1"/>
  </r>
  <r>
    <s v="Hardware Features and Design"/>
    <x v="65"/>
    <d v="2019-01-01T00:00:00"/>
    <d v="2019-10-01T00:00:00"/>
    <n v="5"/>
    <n v="1"/>
    <n v="0"/>
    <n v="0"/>
    <n v="1"/>
    <n v="1"/>
  </r>
  <r>
    <s v="Brand and Model Specifics"/>
    <x v="65"/>
    <d v="2019-01-01T00:00:00"/>
    <d v="2019-10-01T00:00:00"/>
    <n v="5"/>
    <n v="1"/>
    <n v="0"/>
    <n v="0"/>
    <n v="1"/>
    <n v="1"/>
  </r>
  <r>
    <s v="Miscellaneous"/>
    <x v="66"/>
    <d v="2019-01-01T00:00:00"/>
    <d v="2019-10-01T00:00:00"/>
    <n v="15"/>
    <n v="3"/>
    <n v="0"/>
    <n v="0"/>
    <n v="3"/>
    <n v="3"/>
  </r>
  <r>
    <s v="Software and Operating Systems"/>
    <x v="66"/>
    <d v="2019-01-01T00:00:00"/>
    <d v="2019-10-01T00:00:00"/>
    <n v="5"/>
    <n v="1"/>
    <n v="0"/>
    <n v="0"/>
    <n v="1"/>
    <n v="1"/>
  </r>
  <r>
    <s v="Hardware Features and Design"/>
    <x v="66"/>
    <d v="2019-01-01T00:00:00"/>
    <d v="2019-10-01T00:00:00"/>
    <n v="6"/>
    <n v="2"/>
    <n v="1"/>
    <n v="0"/>
    <n v="1"/>
    <n v="2"/>
  </r>
  <r>
    <s v="Performance and Speed"/>
    <x v="66"/>
    <d v="2019-01-01T00:00:00"/>
    <d v="2019-10-01T00:00:00"/>
    <n v="5"/>
    <n v="1"/>
    <n v="0"/>
    <n v="0"/>
    <n v="1"/>
    <n v="1"/>
  </r>
  <r>
    <s v="Miscellaneous"/>
    <x v="67"/>
    <d v="2019-01-01T00:00:00"/>
    <d v="2019-10-01T00:00:00"/>
    <n v="4"/>
    <n v="1"/>
    <n v="1"/>
    <n v="0"/>
    <n v="0"/>
    <n v="1"/>
  </r>
  <r>
    <s v="Pricing and Value"/>
    <x v="67"/>
    <d v="2019-01-01T00:00:00"/>
    <d v="2019-10-01T00:00:00"/>
    <n v="4"/>
    <n v="1"/>
    <n v="0"/>
    <n v="0"/>
    <n v="1"/>
    <n v="1"/>
  </r>
  <r>
    <s v="Brand and Model Specifics"/>
    <x v="67"/>
    <d v="2019-01-01T00:00:00"/>
    <d v="2019-10-01T00:00:00"/>
    <n v="4"/>
    <n v="1"/>
    <n v="0"/>
    <n v="0"/>
    <n v="1"/>
    <n v="1"/>
  </r>
  <r>
    <s v="Miscellaneous"/>
    <x v="68"/>
    <d v="2019-01-01T00:00:00"/>
    <d v="2019-10-01T00:00:00"/>
    <n v="5"/>
    <n v="1"/>
    <n v="1"/>
    <n v="0"/>
    <n v="0"/>
    <n v="1"/>
  </r>
  <r>
    <s v="Hardware Features and Design"/>
    <x v="68"/>
    <d v="2019-01-01T00:00:00"/>
    <d v="2019-10-01T00:00:00"/>
    <n v="5"/>
    <n v="1"/>
    <n v="1"/>
    <n v="0"/>
    <n v="0"/>
    <n v="1"/>
  </r>
  <r>
    <s v="Brand and Model Specifics"/>
    <x v="68"/>
    <d v="2019-01-01T00:00:00"/>
    <d v="2019-10-01T00:00:00"/>
    <n v="5"/>
    <n v="1"/>
    <n v="1"/>
    <n v="0"/>
    <n v="0"/>
    <n v="1"/>
  </r>
  <r>
    <s v="Brand and Model Specifics"/>
    <x v="69"/>
    <d v="2019-01-01T00:00:00"/>
    <d v="2019-11-01T00:00:00"/>
    <n v="5"/>
    <n v="1"/>
    <n v="1"/>
    <n v="0"/>
    <n v="0"/>
    <n v="1"/>
  </r>
  <r>
    <s v="Brand and Model Specifics"/>
    <x v="70"/>
    <d v="2019-01-01T00:00:00"/>
    <d v="2019-11-01T00:00:00"/>
    <n v="1"/>
    <n v="1"/>
    <n v="1"/>
    <n v="0"/>
    <n v="0"/>
    <n v="1"/>
  </r>
  <r>
    <s v="Hardware Features and Design"/>
    <x v="70"/>
    <d v="2019-01-01T00:00:00"/>
    <d v="2019-11-01T00:00:00"/>
    <n v="1"/>
    <n v="1"/>
    <n v="1"/>
    <n v="0"/>
    <n v="0"/>
    <n v="1"/>
  </r>
  <r>
    <s v="Brand and Model Specifics"/>
    <x v="71"/>
    <d v="2019-01-01T00:00:00"/>
    <d v="2019-11-01T00:00:00"/>
    <n v="5"/>
    <n v="1"/>
    <n v="0"/>
    <n v="0"/>
    <n v="1"/>
    <n v="1"/>
  </r>
  <r>
    <s v="Miscellaneous"/>
    <x v="72"/>
    <d v="2019-01-01T00:00:00"/>
    <d v="2019-11-01T00:00:00"/>
    <n v="5"/>
    <n v="1"/>
    <n v="0"/>
    <n v="0"/>
    <n v="1"/>
    <n v="1"/>
  </r>
  <r>
    <s v="Hardware Features and Design"/>
    <x v="73"/>
    <d v="2019-01-01T00:00:00"/>
    <d v="2019-12-01T00:00:00"/>
    <n v="1"/>
    <n v="1"/>
    <n v="1"/>
    <n v="0"/>
    <n v="0"/>
    <n v="1"/>
  </r>
  <r>
    <s v="Hardware Features and Design"/>
    <x v="74"/>
    <d v="2019-01-01T00:00:00"/>
    <d v="2019-12-01T00:00:00"/>
    <n v="4"/>
    <n v="1"/>
    <n v="1"/>
    <n v="0"/>
    <n v="0"/>
    <n v="1"/>
  </r>
  <r>
    <s v="Software and Operating Systems"/>
    <x v="75"/>
    <d v="2019-01-01T00:00:00"/>
    <d v="2019-12-01T00:00:00"/>
    <n v="1"/>
    <n v="1"/>
    <n v="0"/>
    <n v="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E81AAA-35FE-4524-B054-48CC1C420B97}" name="pivotTrend" cacheId="4"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I5:BI81" firstHeaderRow="0" firstDataRow="0" firstDataCol="1"/>
  <pivotFields count="13">
    <pivotField showAll="0"/>
    <pivotField axis="axisRow" numFmtId="164" showAll="0">
      <items count="95">
        <item m="1" x="76"/>
        <item m="1" x="77"/>
        <item m="1" x="78"/>
        <item m="1" x="79"/>
        <item m="1" x="80"/>
        <item m="1" x="81"/>
        <item m="1" x="82"/>
        <item m="1" x="83"/>
        <item m="1" x="84"/>
        <item m="1" x="85"/>
        <item m="1" x="86"/>
        <item m="1" x="87"/>
        <item m="1" x="88"/>
        <item m="1" x="89"/>
        <item m="1" x="90"/>
        <item m="1" x="91"/>
        <item m="1" x="92"/>
        <item m="1" x="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umFmtId="164" showAll="0"/>
    <pivotField numFmtId="164"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x="0"/>
        <item x="5"/>
        <item t="default"/>
      </items>
    </pivotField>
    <pivotField showAll="0">
      <items count="10">
        <item sd="0" x="7"/>
        <item x="0"/>
        <item x="1"/>
        <item x="2"/>
        <item x="3"/>
        <item x="4"/>
        <item x="5"/>
        <item x="6"/>
        <item x="8"/>
        <item t="default"/>
      </items>
    </pivotField>
  </pivotFields>
  <rowFields count="1">
    <field x="1"/>
  </rowFields>
  <rowItems count="77">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B568BE-273C-4369-9994-4AA771E7BC1F}" name="PivotTable2" cacheId="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2">
  <location ref="D4:D80" firstHeaderRow="1" firstDataRow="1" firstDataCol="1"/>
  <pivotFields count="13">
    <pivotField showAll="0"/>
    <pivotField axis="axisRow" numFmtId="164" showAll="0">
      <items count="95">
        <item m="1" x="76"/>
        <item m="1" x="77"/>
        <item m="1" x="78"/>
        <item m="1" x="79"/>
        <item m="1" x="80"/>
        <item m="1" x="81"/>
        <item m="1" x="82"/>
        <item m="1" x="83"/>
        <item m="1" x="84"/>
        <item m="1" x="85"/>
        <item m="1" x="86"/>
        <item m="1" x="87"/>
        <item m="1" x="88"/>
        <item m="1" x="89"/>
        <item m="1" x="90"/>
        <item m="1" x="91"/>
        <item m="1" x="92"/>
        <item m="1" x="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umFmtId="164" showAll="0"/>
    <pivotField numFmtId="164"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1"/>
        <item sd="0" x="2"/>
        <item sd="0" x="3"/>
        <item sd="0" x="4"/>
        <item x="0"/>
        <item x="5"/>
      </items>
    </pivotField>
    <pivotField showAll="0" defaultSubtotal="0">
      <items count="9">
        <item sd="0" x="7"/>
        <item x="0"/>
        <item x="1"/>
        <item x="2"/>
        <item x="3"/>
        <item x="4"/>
        <item x="5"/>
        <item x="6"/>
        <item x="8"/>
      </items>
    </pivotField>
  </pivotFields>
  <rowFields count="1">
    <field x="1"/>
  </rowFields>
  <rowItems count="76">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4D8BF5-933E-4477-B11A-EC7160900869}" name="TableTopic1" displayName="TableTopic1" ref="A2:F18" totalsRowShown="0" headerRowDxfId="37" headerRowBorderDxfId="36" tableBorderDxfId="35">
  <autoFilter ref="A2:F18" xr:uid="{134D8BF5-933E-4477-B11A-EC7160900869}"/>
  <tableColumns count="6">
    <tableColumn id="1" xr3:uid="{D5BE08CC-83D6-4858-B55E-919CFAE7AD4A}" name="review_id"/>
    <tableColumn id="2" xr3:uid="{D247B8B1-5D15-4661-9DE3-272D88074C4C}" name="review_time" dataDxfId="34"/>
    <tableColumn id="3" xr3:uid="{2C39C375-8D71-4787-A7DF-EDC07457A4F1}" name="rating"/>
    <tableColumn id="4" xr3:uid="{882DFA09-790F-4598-B511-7E4CD74086D3}" name="review"/>
    <tableColumn id="5" xr3:uid="{A0200C70-1252-4C07-9D4F-EC61F28333A1}" name="aspect_sentiment"/>
    <tableColumn id="6" xr3:uid="{C03F738A-CD9E-4110-AF5C-DE080020A7F9}" name="top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B58AF8-C01C-4E93-8072-C13D66861A4B}" name="TableTopic2" displayName="TableTopic2" ref="J2:O21" totalsRowShown="0" headerRowDxfId="33" headerRowBorderDxfId="32" tableBorderDxfId="31">
  <autoFilter ref="J2:O21" xr:uid="{FCB58AF8-C01C-4E93-8072-C13D66861A4B}"/>
  <tableColumns count="6">
    <tableColumn id="1" xr3:uid="{5866F9DA-9196-498A-BE50-2EA448D3196B}" name="review_id"/>
    <tableColumn id="2" xr3:uid="{CD53C4B2-6452-481D-A302-63CDF7DD459E}" name="review_time"/>
    <tableColumn id="3" xr3:uid="{891AE4B0-FF38-4BBA-94C0-9A6DB662E7C1}" name="rating"/>
    <tableColumn id="4" xr3:uid="{BFAC2AB3-64AA-4972-81E1-01AFB87D0E60}" name="review"/>
    <tableColumn id="5" xr3:uid="{F38F5C92-390E-4D52-A6A8-DD550540479C}" name="aspect_sentiment"/>
    <tableColumn id="6" xr3:uid="{60F3B489-CD87-4EE6-8605-65A9232B5153}" name="top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9C4A2B-E821-405C-9008-6AAB081CC112}" name="TableTopic3" displayName="TableTopic3" ref="S2:X62" totalsRowShown="0" headerRowDxfId="30" headerRowBorderDxfId="29" tableBorderDxfId="28">
  <autoFilter ref="S2:X62" xr:uid="{299C4A2B-E821-405C-9008-6AAB081CC112}"/>
  <tableColumns count="6">
    <tableColumn id="1" xr3:uid="{F59A646D-0089-4682-AD45-2AC0179945DD}" name="review_id"/>
    <tableColumn id="2" xr3:uid="{46407334-8766-4A94-86A1-1B0C8695AC9A}" name="review_time"/>
    <tableColumn id="3" xr3:uid="{8FE22B56-3555-4E10-802E-FDAD4BC9A3DE}" name="rating"/>
    <tableColumn id="4" xr3:uid="{B9D9DCEA-F798-4F83-BB5A-58A5D72D08F5}" name="review"/>
    <tableColumn id="5" xr3:uid="{5C150EDA-83FA-4483-84B8-AD4DE7BD6BEF}" name="aspect_sentiment"/>
    <tableColumn id="6" xr3:uid="{B42EC0D3-0174-443C-B21A-FC9B61FDA493}" name="topic"/>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CF3448-C443-418C-9F86-DA6248C106A1}" name="TableTopic4" displayName="TableTopic4" ref="AB2:AG42" totalsRowShown="0" headerRowDxfId="27" headerRowBorderDxfId="26" tableBorderDxfId="25">
  <autoFilter ref="AB2:AG42" xr:uid="{04CF3448-C443-418C-9F86-DA6248C106A1}"/>
  <tableColumns count="6">
    <tableColumn id="1" xr3:uid="{F5F762F5-036D-496E-BEC8-81941C6EC23C}" name="review_id"/>
    <tableColumn id="2" xr3:uid="{EDD7B400-2CBF-465B-BF81-122E052ADA65}" name="review_time"/>
    <tableColumn id="3" xr3:uid="{AE7847F8-E90F-47D0-9887-2B9934C821E7}" name="rating"/>
    <tableColumn id="4" xr3:uid="{72834F0D-7114-4385-BB5B-64105A7D1692}" name="review"/>
    <tableColumn id="5" xr3:uid="{326D968A-727D-49F2-A74B-9FC5CAD5EA0B}" name="aspect_sentiment"/>
    <tableColumn id="6" xr3:uid="{932D2D2C-16D6-4432-9D67-26DA4D1538C8}" name="top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C60A84-1254-4329-98DA-5980E8C1D70E}" name="TableTopic5" displayName="TableTopic5" ref="AK2:AP6" totalsRowShown="0" headerRowDxfId="24" headerRowBorderDxfId="23" tableBorderDxfId="22">
  <autoFilter ref="AK2:AP6" xr:uid="{26C60A84-1254-4329-98DA-5980E8C1D70E}"/>
  <tableColumns count="6">
    <tableColumn id="1" xr3:uid="{FAA71A0C-7FA9-428E-89B9-1E39DA605454}" name="review_id"/>
    <tableColumn id="2" xr3:uid="{14E8816C-928D-4E95-94AD-5D29685CFC33}" name="review_time"/>
    <tableColumn id="3" xr3:uid="{BB0669A6-2FEF-4C7D-957C-E6CF407C0113}" name="rating"/>
    <tableColumn id="4" xr3:uid="{910072E4-8F8A-4518-AB6A-CADE2B4373B6}" name="review"/>
    <tableColumn id="5" xr3:uid="{919B3A57-ADE9-400C-B8B4-D7299659D963}" name="aspect_sentiment"/>
    <tableColumn id="6" xr3:uid="{729C7058-90E2-448A-AE5A-220163398D58}" name="topi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1B713A-A5CF-4877-8549-9791E391679A}" name="TableTopic6" displayName="TableTopic6" ref="AT2:AY41" totalsRowShown="0" headerRowDxfId="21" headerRowBorderDxfId="20" tableBorderDxfId="19">
  <autoFilter ref="AT2:AY41" xr:uid="{141B713A-A5CF-4877-8549-9791E391679A}"/>
  <tableColumns count="6">
    <tableColumn id="1" xr3:uid="{157ACB4E-6A27-432D-8225-D45C9085E90C}" name="review_id"/>
    <tableColumn id="2" xr3:uid="{0E04AA4A-8097-4C69-B0A5-8809A48EC578}" name="review_time"/>
    <tableColumn id="3" xr3:uid="{29DEBDE3-DD91-4B52-B712-67056DE2029F}" name="rating"/>
    <tableColumn id="4" xr3:uid="{80709CAD-02A0-4841-94A0-CF90F3B8E649}" name="review"/>
    <tableColumn id="5" xr3:uid="{CD5E5D6C-9247-43E1-B5E9-09383FB47BEB}" name="aspect_sentiment"/>
    <tableColumn id="6" xr3:uid="{F20FDFD4-877E-41B6-8DF9-91295C290CDC}" name="topi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C71098-98DF-4768-A6FF-BA1DD143E99F}" name="TableTopic7" displayName="TableTopic7" ref="BC2:BH50" totalsRowShown="0" headerRowDxfId="18" headerRowBorderDxfId="17" tableBorderDxfId="16">
  <autoFilter ref="BC2:BH50" xr:uid="{73C71098-98DF-4768-A6FF-BA1DD143E99F}"/>
  <tableColumns count="6">
    <tableColumn id="1" xr3:uid="{7471045F-649B-437A-9FFE-CE27CDDD0CC4}" name="review_id"/>
    <tableColumn id="2" xr3:uid="{C477E86D-DA33-4F44-866A-85C267F2B3A5}" name="review_time"/>
    <tableColumn id="3" xr3:uid="{982DB23C-14F7-4353-9066-0B582A2954C7}" name="rating"/>
    <tableColumn id="4" xr3:uid="{8EA3A700-CEAD-48E6-8E95-6625FB8C3F63}" name="review"/>
    <tableColumn id="5" xr3:uid="{923100D6-75BB-4E61-BB43-7CC19DA016B3}" name="aspect_sentiment"/>
    <tableColumn id="6" xr3:uid="{18F449C8-A502-4B39-8EB8-78368CE2C7D3}" name="topic"/>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E19523A-6DF4-4302-A567-7AC3099810E3}" name="TableTopic8" displayName="TableTopic8" ref="BL2:BQ12" totalsRowShown="0" headerRowDxfId="7" headerRowBorderDxfId="8" tableBorderDxfId="9">
  <autoFilter ref="BL2:BQ12" xr:uid="{0E19523A-6DF4-4302-A567-7AC3099810E3}"/>
  <tableColumns count="6">
    <tableColumn id="1" xr3:uid="{F627B04D-695C-4520-B700-563F1C5EC766}" name="review_id"/>
    <tableColumn id="2" xr3:uid="{9F71EA8A-C77D-4CC6-86B8-EC284FAC9AD8}" name="review_time"/>
    <tableColumn id="3" xr3:uid="{571AE0FD-E982-436A-961C-BF49DB88F1A3}" name="rating"/>
    <tableColumn id="4" xr3:uid="{EA24CD68-BB74-4BE3-BF0F-4959F8CBA034}" name="review"/>
    <tableColumn id="5" xr3:uid="{27AE87FC-DD35-4FC3-B898-ABB63653B311}" name="aspect_sentiment"/>
    <tableColumn id="6" xr3:uid="{0761A15B-AFBA-4A26-86C2-259A0899F779}" name="topic"/>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39CDA03-EF62-49E7-ADD0-C46E27A0BC17}" name="TableTopic9" displayName="TableTopic9" ref="BU2:BZ14" totalsRowShown="0" headerRowDxfId="4" headerRowBorderDxfId="5" tableBorderDxfId="6">
  <autoFilter ref="BU2:BZ14" xr:uid="{F39CDA03-EF62-49E7-ADD0-C46E27A0BC17}"/>
  <tableColumns count="6">
    <tableColumn id="1" xr3:uid="{F698821B-8437-4770-8B10-C3FC1065F49D}" name="review_id"/>
    <tableColumn id="2" xr3:uid="{84602B21-013E-410A-BCE5-BED0D88A5A5B}" name="review_time"/>
    <tableColumn id="3" xr3:uid="{9E8B9707-33DD-4DDE-9094-711585C160ED}" name="rating"/>
    <tableColumn id="4" xr3:uid="{BED0933E-740D-492F-9BA0-B55C0ACDBBFE}" name="review"/>
    <tableColumn id="5" xr3:uid="{5D47E54B-5570-4363-A646-721D6B1A02F6}" name="aspect_sentiment"/>
    <tableColumn id="6" xr3:uid="{1176AE00-EE1F-4962-B37B-4C5B43713BCF}" name="topic"/>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136" totalsRowShown="0" headerRowDxfId="15" headerRowBorderDxfId="14" tableBorderDxfId="13">
  <autoFilter ref="A1:J136" xr:uid="{07FE01F9-A364-4311-931E-85843CEB71DF}"/>
  <tableColumns count="10">
    <tableColumn id="1" xr3:uid="{A01E3EE8-64C2-441F-A788-529973DE1C83}" name="topic"/>
    <tableColumn id="2" xr3:uid="{75BC0C25-9C16-4DF4-BDD4-81551329693A}" name="review_time" dataDxfId="3"/>
    <tableColumn id="3" xr3:uid="{6F62391B-E1EF-4087-910A-55B22214AAEC}" name="year" dataDxfId="2"/>
    <tableColumn id="4" xr3:uid="{4E5FEED7-2B24-4AF9-9C97-E0DAC387C167}" name="month" dataDxfId="1"/>
    <tableColumn id="10" xr3:uid="{3FAC9164-BFC1-481E-921D-C0F06BA6BD96}" name="rating_sum" dataDxfId="12"/>
    <tableColumn id="11" xr3:uid="{2A5A036C-32A2-4A08-A2BC-01A6A44E1C7D}" name="rating_count" dataDxfId="11"/>
    <tableColumn id="12" xr3:uid="{A24E8AB3-D3DD-4723-9008-40462D7823F1}" name="negative"/>
    <tableColumn id="7" xr3:uid="{4F753938-2EA1-425C-9689-BA8373A3ADC2}" name="neutral"/>
    <tableColumn id="5" xr3:uid="{80542E9C-0658-4E4F-8EC6-1A2BAB698E24}" name="positive" dataDxfId="10"/>
    <tableColumn id="6" xr3:uid="{3D10DD58-EDA3-4F90-8B7B-A20FD3B34451}" name="total"/>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G212" totalsRowShown="0">
  <autoFilter ref="A2:G212" xr:uid="{4F7AB1E2-F3A3-4AC5-9B6D-8CB209A7356A}"/>
  <tableColumns count="7">
    <tableColumn id="1" xr3:uid="{F8CDAA91-2D6C-42D5-9A3E-CEF605E1512E}" name="topic"/>
    <tableColumn id="2" xr3:uid="{1FA65CEF-28E9-46D9-9791-07A67A66825D}" name="review_time" dataDxfId="0"/>
    <tableColumn id="3" xr3:uid="{5D71157F-1DFD-4326-8CAA-8532881F04A4}" name="aspect"/>
    <tableColumn id="4" xr3:uid="{8BF31747-FA18-4DD1-9FA4-83110CC1DD48}" name="negative"/>
    <tableColumn id="5" xr3:uid="{1B7102F2-C23D-4E9D-BE59-F205AC03A5D8}" name="neutral"/>
    <tableColumn id="6" xr3:uid="{CBDBF239-2AED-4489-AFA9-586C30CDBDDE}" name="positive"/>
    <tableColumn id="7" xr3:uid="{72E1033D-844F-490F-A945-C784D7B42292}"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topLeftCell="E1" zoomScale="78" zoomScaleNormal="63" workbookViewId="0">
      <selection activeCell="AC28" sqref="AC28"/>
    </sheetView>
  </sheetViews>
  <sheetFormatPr defaultRowHeight="14.4" x14ac:dyDescent="0.3"/>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x14ac:dyDescent="0.3">
      <c r="H3" s="24"/>
      <c r="I3" s="24"/>
      <c r="J3" s="24"/>
      <c r="K3" s="24"/>
      <c r="L3" s="24"/>
      <c r="M3" s="24"/>
      <c r="N3" s="24"/>
      <c r="O3" s="24"/>
      <c r="P3" s="24"/>
      <c r="Q3" s="24"/>
      <c r="R3" s="24"/>
      <c r="S3" s="24"/>
      <c r="T3" s="24"/>
      <c r="U3" s="24"/>
      <c r="V3" s="24"/>
      <c r="W3" s="24"/>
      <c r="X3" s="24"/>
      <c r="Y3" s="24"/>
      <c r="Z3" s="24"/>
      <c r="AA3" s="24"/>
    </row>
    <row r="4" spans="2:27" x14ac:dyDescent="0.3">
      <c r="H4" s="24"/>
      <c r="I4" s="24"/>
      <c r="J4" s="24"/>
      <c r="K4" s="24"/>
      <c r="L4" s="24"/>
      <c r="M4" s="24"/>
      <c r="N4" s="24"/>
      <c r="O4" s="24"/>
      <c r="P4" s="24"/>
      <c r="Q4" s="24"/>
      <c r="R4" s="24"/>
      <c r="S4" s="24"/>
      <c r="T4" s="24"/>
      <c r="U4" s="24"/>
      <c r="V4" s="24"/>
      <c r="W4" s="24"/>
      <c r="X4" s="24"/>
      <c r="Y4" s="24"/>
      <c r="Z4" s="24"/>
      <c r="AA4" s="24"/>
    </row>
    <row r="5" spans="2:27" x14ac:dyDescent="0.3">
      <c r="H5" s="24"/>
      <c r="I5" s="24"/>
      <c r="J5" s="24"/>
      <c r="K5" s="24"/>
      <c r="L5" s="24"/>
      <c r="M5" s="24"/>
      <c r="N5" s="24"/>
      <c r="O5" s="24"/>
      <c r="P5" s="24"/>
      <c r="Q5" s="24"/>
      <c r="R5" s="24"/>
      <c r="S5" s="24"/>
      <c r="T5" s="24"/>
      <c r="U5" s="24"/>
      <c r="V5" s="24"/>
      <c r="W5" s="24"/>
      <c r="X5" s="24"/>
      <c r="Y5" s="24"/>
      <c r="Z5" s="24"/>
      <c r="AA5" s="24"/>
    </row>
    <row r="6" spans="2:27" x14ac:dyDescent="0.3">
      <c r="H6" s="24"/>
      <c r="I6" s="24"/>
      <c r="J6" s="24"/>
      <c r="K6" s="24"/>
      <c r="L6" s="24"/>
      <c r="M6" s="24"/>
      <c r="N6" s="24"/>
      <c r="O6" s="24"/>
      <c r="P6" s="24"/>
      <c r="Q6" s="24"/>
      <c r="R6" s="24"/>
      <c r="S6" s="24"/>
      <c r="T6" s="24"/>
      <c r="U6" s="24"/>
      <c r="V6" s="24"/>
      <c r="W6" s="24"/>
      <c r="X6" s="24"/>
      <c r="Y6" s="24"/>
      <c r="Z6" s="24"/>
      <c r="AA6" s="24"/>
    </row>
    <row r="7" spans="2:27" x14ac:dyDescent="0.3">
      <c r="B7">
        <v>2</v>
      </c>
      <c r="H7" s="24"/>
      <c r="I7" s="24"/>
      <c r="J7" s="24"/>
      <c r="K7" s="24"/>
      <c r="L7" s="24"/>
      <c r="M7" s="24"/>
      <c r="N7" s="24"/>
      <c r="O7" s="24"/>
      <c r="P7" s="24"/>
      <c r="Q7" s="24"/>
      <c r="R7" s="24"/>
      <c r="S7" s="24"/>
      <c r="T7" s="24"/>
      <c r="U7" s="24"/>
      <c r="V7" s="24"/>
      <c r="W7" s="24"/>
      <c r="X7" s="24"/>
      <c r="Y7" s="24"/>
      <c r="Z7" s="24"/>
      <c r="AA7" s="24"/>
    </row>
    <row r="8" spans="2:27" x14ac:dyDescent="0.3">
      <c r="H8" s="24"/>
      <c r="I8" s="24"/>
      <c r="J8" s="24"/>
      <c r="K8" s="24"/>
      <c r="L8" s="24"/>
      <c r="M8" s="24"/>
      <c r="N8" s="24"/>
      <c r="O8" s="24"/>
      <c r="P8" s="24"/>
      <c r="Q8" s="24"/>
      <c r="R8" s="24"/>
      <c r="S8" s="24"/>
      <c r="T8" s="24"/>
      <c r="U8" s="24"/>
      <c r="V8" s="24"/>
      <c r="W8" s="24"/>
      <c r="X8" s="24"/>
      <c r="Y8" s="24"/>
      <c r="Z8" s="24"/>
      <c r="AA8" s="24"/>
    </row>
    <row r="9" spans="2:27" x14ac:dyDescent="0.3">
      <c r="H9" s="24"/>
      <c r="I9" s="24"/>
      <c r="J9" s="24"/>
      <c r="K9" s="24"/>
      <c r="L9" s="24"/>
      <c r="M9" s="24"/>
      <c r="N9" s="24"/>
      <c r="O9" s="24"/>
      <c r="P9" s="24"/>
      <c r="Q9" s="24"/>
      <c r="R9" s="24"/>
      <c r="S9" s="24"/>
      <c r="T9" s="24"/>
      <c r="U9" s="24"/>
      <c r="V9" s="24"/>
      <c r="W9" s="24"/>
      <c r="X9" s="24"/>
      <c r="Y9" s="24"/>
      <c r="Z9" s="24"/>
      <c r="AA9" s="24"/>
    </row>
    <row r="10" spans="2:27" x14ac:dyDescent="0.3">
      <c r="H10" s="24"/>
      <c r="I10" s="24"/>
      <c r="J10" s="24"/>
      <c r="K10" s="24"/>
      <c r="L10" s="24"/>
      <c r="M10" s="24"/>
      <c r="N10" s="24"/>
      <c r="O10" s="24"/>
      <c r="P10" s="24"/>
      <c r="Q10" s="24"/>
      <c r="R10" s="46"/>
      <c r="S10" s="47" t="s">
        <v>16</v>
      </c>
      <c r="T10" s="47" t="s">
        <v>72</v>
      </c>
      <c r="U10" s="24"/>
      <c r="V10" s="24"/>
      <c r="W10" s="24"/>
      <c r="X10" s="24"/>
      <c r="Y10" s="24"/>
      <c r="Z10" s="24"/>
      <c r="AA10" s="24"/>
    </row>
    <row r="11" spans="2:27" x14ac:dyDescent="0.3">
      <c r="H11" s="24"/>
      <c r="I11" s="24"/>
      <c r="J11" s="24"/>
      <c r="K11" s="24"/>
      <c r="L11" s="24"/>
      <c r="M11" s="24"/>
      <c r="N11" s="24"/>
      <c r="O11" s="24"/>
      <c r="P11" s="24"/>
      <c r="Q11" s="24"/>
      <c r="R11" s="46" t="s">
        <v>53</v>
      </c>
      <c r="S11" s="47"/>
      <c r="T11" s="47"/>
      <c r="U11" s="24"/>
      <c r="V11" s="24"/>
      <c r="W11" s="24"/>
      <c r="X11" s="24"/>
      <c r="Y11" s="24"/>
      <c r="Z11" s="24"/>
      <c r="AA11" s="24"/>
    </row>
    <row r="12" spans="2:27" x14ac:dyDescent="0.3">
      <c r="H12" s="24"/>
      <c r="I12" s="24"/>
      <c r="J12" s="24"/>
      <c r="K12" s="24"/>
      <c r="L12" s="24"/>
      <c r="M12" s="24"/>
      <c r="N12" s="24"/>
      <c r="O12" s="24"/>
      <c r="P12" s="24"/>
      <c r="Q12" s="24"/>
      <c r="R12" s="46" t="s">
        <v>51</v>
      </c>
      <c r="S12" s="47"/>
      <c r="T12" s="47"/>
      <c r="U12" s="24"/>
      <c r="V12" s="24"/>
      <c r="W12" s="24"/>
      <c r="X12" s="24"/>
      <c r="Y12" s="24"/>
      <c r="Z12" s="24"/>
      <c r="AA12" s="24"/>
    </row>
    <row r="13" spans="2:27" x14ac:dyDescent="0.3">
      <c r="H13" s="24"/>
      <c r="I13" s="24"/>
      <c r="J13" s="24"/>
      <c r="K13" s="24"/>
      <c r="L13" s="24"/>
      <c r="M13" s="24"/>
      <c r="N13" s="24"/>
      <c r="O13" s="24"/>
      <c r="P13" s="24"/>
      <c r="Q13" s="24"/>
      <c r="R13" s="46" t="s">
        <v>71</v>
      </c>
      <c r="S13" s="47"/>
      <c r="T13" s="47"/>
      <c r="U13" s="24"/>
      <c r="V13" s="24"/>
      <c r="W13" s="24"/>
      <c r="X13" s="24"/>
      <c r="Y13" s="24"/>
      <c r="Z13" s="24"/>
      <c r="AA13" s="24"/>
    </row>
    <row r="14" spans="2:27" x14ac:dyDescent="0.3">
      <c r="H14" s="24"/>
      <c r="I14" s="24"/>
      <c r="J14" s="24"/>
      <c r="K14" s="24"/>
      <c r="L14" s="24"/>
      <c r="M14" s="24"/>
      <c r="N14" s="24"/>
      <c r="O14" s="24"/>
      <c r="P14" s="24"/>
      <c r="Q14" s="24"/>
      <c r="R14" s="24"/>
      <c r="S14" s="24"/>
      <c r="T14" s="24"/>
      <c r="U14" s="24"/>
      <c r="V14" s="24"/>
      <c r="W14" s="24"/>
      <c r="X14" s="24"/>
      <c r="Y14" s="24"/>
      <c r="Z14" s="24"/>
      <c r="AA14" s="24"/>
    </row>
    <row r="15" spans="2:27" x14ac:dyDescent="0.3">
      <c r="F15" s="7"/>
      <c r="H15" s="24"/>
      <c r="I15" s="39"/>
      <c r="J15" s="39"/>
      <c r="K15" s="24"/>
      <c r="L15" s="24"/>
      <c r="M15" s="24"/>
      <c r="N15" s="24"/>
      <c r="O15" s="24"/>
      <c r="P15" s="24"/>
      <c r="Q15" s="24"/>
      <c r="R15" s="24"/>
      <c r="S15" s="24"/>
      <c r="T15" s="24"/>
      <c r="U15" s="24"/>
      <c r="V15" s="24"/>
      <c r="W15" s="24"/>
      <c r="X15" s="24"/>
      <c r="Y15" s="24"/>
      <c r="Z15" s="24"/>
      <c r="AA15" s="24"/>
    </row>
    <row r="16" spans="2:27" x14ac:dyDescent="0.3">
      <c r="F16" s="7"/>
      <c r="H16" s="24"/>
      <c r="I16" s="24"/>
      <c r="J16" s="24"/>
      <c r="K16" s="24"/>
      <c r="L16" s="24"/>
      <c r="M16" s="24"/>
      <c r="N16" s="24"/>
      <c r="O16" s="24"/>
      <c r="P16" s="24"/>
      <c r="Q16" s="24"/>
      <c r="R16" s="24"/>
      <c r="S16" s="24"/>
      <c r="T16" s="24"/>
      <c r="U16" s="24"/>
      <c r="V16" s="24"/>
      <c r="W16" s="24"/>
      <c r="X16" s="24"/>
      <c r="Y16" s="24"/>
      <c r="Z16" s="24"/>
      <c r="AA16" s="24"/>
    </row>
    <row r="17" spans="8:27" x14ac:dyDescent="0.3">
      <c r="H17" s="24"/>
      <c r="I17" s="24"/>
      <c r="J17" s="24"/>
      <c r="K17" s="24"/>
      <c r="L17" s="24"/>
      <c r="M17" s="24"/>
      <c r="N17" s="24"/>
      <c r="O17" s="24"/>
      <c r="P17" s="24"/>
      <c r="Q17" s="24"/>
      <c r="R17" s="24"/>
      <c r="S17" s="24"/>
      <c r="T17" s="24"/>
      <c r="U17" s="24"/>
      <c r="V17" s="24"/>
      <c r="W17" s="24"/>
      <c r="X17" s="24"/>
      <c r="Y17" s="24"/>
      <c r="Z17" s="24"/>
      <c r="AA17" s="24"/>
    </row>
    <row r="18" spans="8:27" x14ac:dyDescent="0.3">
      <c r="H18" s="24"/>
      <c r="I18" s="24"/>
      <c r="J18" s="24"/>
      <c r="K18" s="24"/>
      <c r="L18" s="24"/>
      <c r="M18" s="24"/>
      <c r="N18" s="24"/>
      <c r="O18" s="24"/>
      <c r="P18" s="24"/>
      <c r="Q18" s="24"/>
      <c r="R18" s="24"/>
      <c r="S18" s="24"/>
      <c r="T18" s="24"/>
      <c r="U18" s="24"/>
      <c r="V18" s="24"/>
      <c r="W18" s="24"/>
      <c r="X18" s="24"/>
      <c r="Y18" s="24"/>
      <c r="Z18" s="24"/>
      <c r="AA18" s="24"/>
    </row>
    <row r="19" spans="8:27" x14ac:dyDescent="0.3">
      <c r="H19" s="24"/>
      <c r="I19" s="24"/>
      <c r="J19" s="24"/>
      <c r="K19" s="24"/>
      <c r="L19" s="24"/>
      <c r="M19" s="24"/>
      <c r="N19" s="24"/>
      <c r="O19" s="24"/>
      <c r="P19" s="24"/>
      <c r="Q19" s="24"/>
      <c r="R19" s="24"/>
      <c r="S19" s="24"/>
      <c r="T19" s="24"/>
      <c r="U19" s="24"/>
      <c r="V19" s="24"/>
      <c r="W19" s="24"/>
      <c r="X19" s="24"/>
      <c r="Y19" s="24"/>
      <c r="Z19" s="24"/>
      <c r="AA19" s="24"/>
    </row>
    <row r="20" spans="8:27" x14ac:dyDescent="0.3">
      <c r="H20" s="24"/>
      <c r="I20" s="24"/>
      <c r="J20" s="24"/>
      <c r="K20" s="24"/>
      <c r="L20" s="24"/>
      <c r="M20" s="24"/>
      <c r="N20" s="24"/>
      <c r="O20" s="24"/>
      <c r="P20" s="24"/>
      <c r="Q20" s="24"/>
      <c r="R20" s="24"/>
      <c r="S20" s="24"/>
      <c r="T20" s="24"/>
      <c r="U20" s="24"/>
      <c r="V20" s="24"/>
      <c r="W20" s="24"/>
      <c r="X20" s="24"/>
      <c r="Y20" s="24"/>
      <c r="Z20" s="24"/>
      <c r="AA20" s="24"/>
    </row>
    <row r="21" spans="8:27" x14ac:dyDescent="0.3">
      <c r="H21" s="24"/>
      <c r="I21" s="24"/>
      <c r="J21" s="24"/>
      <c r="K21" s="24"/>
      <c r="L21" s="24"/>
      <c r="M21" s="24"/>
      <c r="N21" s="24"/>
      <c r="O21" s="24"/>
      <c r="P21" s="24"/>
      <c r="Q21" s="24"/>
      <c r="R21" s="24"/>
      <c r="S21" s="24"/>
      <c r="T21" s="24"/>
      <c r="U21" s="24"/>
      <c r="V21" s="24"/>
      <c r="W21" s="24"/>
      <c r="X21" s="24"/>
      <c r="Y21" s="24"/>
      <c r="Z21" s="24"/>
      <c r="AA21" s="24"/>
    </row>
    <row r="22" spans="8:27" x14ac:dyDescent="0.3">
      <c r="H22" s="24"/>
      <c r="I22" s="24"/>
      <c r="J22" s="24"/>
      <c r="K22" s="24"/>
      <c r="L22" s="24"/>
      <c r="M22" s="24"/>
      <c r="N22" s="24"/>
      <c r="O22" s="24"/>
      <c r="P22" s="24"/>
      <c r="Q22" s="24"/>
      <c r="R22" s="24"/>
      <c r="S22" s="24"/>
      <c r="T22" s="24"/>
      <c r="U22" s="24"/>
      <c r="V22" s="24"/>
      <c r="W22" s="24"/>
      <c r="X22" s="24"/>
      <c r="Y22" s="24"/>
      <c r="Z22" s="24"/>
      <c r="AA22" s="24"/>
    </row>
    <row r="23" spans="8:27" x14ac:dyDescent="0.3">
      <c r="H23" s="24"/>
      <c r="I23" s="24"/>
      <c r="J23" s="24"/>
      <c r="K23" s="24"/>
      <c r="L23" s="24"/>
      <c r="M23" s="24"/>
      <c r="N23" s="24"/>
      <c r="O23" s="24"/>
      <c r="P23" s="24"/>
      <c r="Q23" s="24"/>
      <c r="R23" s="24"/>
      <c r="S23" s="24"/>
      <c r="T23" s="24"/>
      <c r="U23" s="24"/>
      <c r="V23" s="24"/>
      <c r="W23" s="24"/>
      <c r="X23" s="24"/>
      <c r="Y23" s="24"/>
      <c r="Z23" s="24"/>
      <c r="AA23" s="24"/>
    </row>
    <row r="24" spans="8:27" x14ac:dyDescent="0.3">
      <c r="H24" s="24"/>
      <c r="I24" s="24"/>
      <c r="J24" s="24"/>
      <c r="K24" s="24"/>
      <c r="L24" s="24"/>
      <c r="M24" s="24"/>
      <c r="N24" s="24"/>
      <c r="O24" s="24"/>
      <c r="P24" s="24"/>
      <c r="Q24" s="24"/>
      <c r="R24" s="24"/>
      <c r="S24" s="24"/>
      <c r="T24" s="24"/>
      <c r="U24" s="24"/>
      <c r="V24" s="24"/>
      <c r="W24" s="24"/>
      <c r="X24" s="24"/>
      <c r="Y24" s="24"/>
      <c r="Z24" s="24"/>
      <c r="AA24" s="24"/>
    </row>
    <row r="25" spans="8:27" x14ac:dyDescent="0.3">
      <c r="H25" s="24"/>
      <c r="I25" s="24"/>
      <c r="J25" s="24"/>
      <c r="K25" s="24"/>
      <c r="L25" s="24"/>
      <c r="M25" s="24"/>
      <c r="N25" s="24"/>
      <c r="O25" s="24"/>
      <c r="P25" s="24"/>
      <c r="Q25" s="24"/>
      <c r="R25" s="24"/>
      <c r="S25" s="24"/>
      <c r="T25" s="24"/>
      <c r="U25" s="24"/>
      <c r="V25" s="24"/>
      <c r="W25" s="24"/>
      <c r="X25" s="24"/>
      <c r="Y25" s="24"/>
      <c r="Z25" s="24"/>
      <c r="AA25" s="24"/>
    </row>
    <row r="26" spans="8:27" x14ac:dyDescent="0.3">
      <c r="H26" s="24"/>
      <c r="I26" s="24"/>
      <c r="J26" s="24"/>
      <c r="K26" s="24"/>
      <c r="L26" s="24"/>
      <c r="M26" s="24"/>
      <c r="N26" s="24"/>
      <c r="O26" s="24"/>
      <c r="P26" s="24"/>
      <c r="Q26" s="24"/>
      <c r="R26" s="24"/>
      <c r="S26" s="24"/>
      <c r="T26" s="24"/>
      <c r="U26" s="24"/>
      <c r="V26" s="24"/>
      <c r="W26" s="24"/>
      <c r="X26" s="24"/>
      <c r="Y26" s="24"/>
      <c r="Z26" s="24"/>
      <c r="AA26" s="24"/>
    </row>
    <row r="27" spans="8:27" x14ac:dyDescent="0.3">
      <c r="H27" s="24"/>
      <c r="I27" s="24"/>
      <c r="J27" s="24"/>
      <c r="K27" s="24"/>
      <c r="L27" s="24"/>
      <c r="M27" s="24"/>
      <c r="N27" s="24"/>
      <c r="O27" s="24"/>
      <c r="P27" s="24"/>
      <c r="Q27" s="24"/>
      <c r="R27" s="24"/>
      <c r="S27" s="24"/>
      <c r="T27" s="24"/>
      <c r="U27" s="24"/>
      <c r="V27" s="24"/>
      <c r="W27" s="24"/>
      <c r="X27" s="24"/>
      <c r="Y27" s="24"/>
      <c r="Z27" s="24"/>
      <c r="AA27" s="24"/>
    </row>
    <row r="28" spans="8:27" x14ac:dyDescent="0.3">
      <c r="H28" s="24"/>
      <c r="I28" s="24"/>
      <c r="J28" s="24"/>
      <c r="K28" s="24"/>
      <c r="L28" s="24"/>
      <c r="M28" s="24"/>
      <c r="N28" s="24"/>
      <c r="O28" s="24"/>
      <c r="P28" s="24"/>
      <c r="Q28" s="24"/>
      <c r="R28" s="24"/>
      <c r="S28" s="24"/>
      <c r="T28" s="24"/>
      <c r="U28" s="24"/>
      <c r="V28" s="24"/>
      <c r="W28" s="24"/>
      <c r="X28" s="24"/>
      <c r="Y28" s="24"/>
      <c r="Z28" s="24"/>
      <c r="AA28" s="24"/>
    </row>
    <row r="29" spans="8:27" x14ac:dyDescent="0.3">
      <c r="H29" s="24"/>
      <c r="I29" s="24"/>
      <c r="J29" s="24"/>
      <c r="K29" s="24"/>
      <c r="L29" s="24"/>
      <c r="M29" s="24"/>
      <c r="N29" s="24"/>
      <c r="O29" s="24"/>
      <c r="P29" s="24"/>
      <c r="Q29" s="24"/>
      <c r="R29" s="24"/>
      <c r="S29" s="24"/>
      <c r="T29" s="24"/>
      <c r="U29" s="24"/>
      <c r="V29" s="24"/>
      <c r="W29" s="24"/>
      <c r="X29" s="24"/>
      <c r="Y29" s="24"/>
      <c r="Z29" s="24"/>
      <c r="AA29" s="24"/>
    </row>
    <row r="30" spans="8:27" x14ac:dyDescent="0.3">
      <c r="H30" s="24"/>
      <c r="I30" s="24"/>
      <c r="J30" s="24"/>
      <c r="K30" s="24"/>
      <c r="L30" s="24"/>
      <c r="M30" s="24"/>
      <c r="N30" s="24"/>
      <c r="O30" s="24"/>
      <c r="P30" s="24"/>
      <c r="Q30" s="24"/>
      <c r="R30" s="24"/>
      <c r="S30" s="24"/>
      <c r="T30" s="24"/>
      <c r="U30" s="24"/>
      <c r="V30" s="24"/>
      <c r="W30" s="24"/>
      <c r="X30" s="24"/>
      <c r="Y30" s="24"/>
      <c r="Z30" s="24"/>
      <c r="AA30" s="24"/>
    </row>
    <row r="31" spans="8:27" x14ac:dyDescent="0.3">
      <c r="H31" s="24"/>
      <c r="I31" s="24"/>
      <c r="J31" s="24"/>
      <c r="K31" s="24"/>
      <c r="L31" s="24"/>
      <c r="M31" s="24"/>
      <c r="N31" s="24"/>
      <c r="O31" s="24"/>
      <c r="P31" s="24"/>
      <c r="Q31" s="24"/>
      <c r="R31" s="24"/>
      <c r="S31" s="24"/>
      <c r="T31" s="24"/>
      <c r="U31" s="24"/>
      <c r="V31" s="24"/>
      <c r="W31" s="24"/>
      <c r="X31" s="24"/>
      <c r="Y31" s="24"/>
      <c r="Z31" s="24"/>
      <c r="AA31" s="24"/>
    </row>
    <row r="32" spans="8:27" x14ac:dyDescent="0.3">
      <c r="H32" s="24"/>
      <c r="I32" s="24"/>
      <c r="J32" s="24"/>
      <c r="K32" s="24"/>
      <c r="L32" s="24"/>
      <c r="M32" s="24"/>
      <c r="N32" s="24"/>
      <c r="O32" s="24"/>
      <c r="P32" s="24"/>
      <c r="Q32" s="24"/>
      <c r="R32" s="24"/>
      <c r="S32" s="24"/>
      <c r="T32" s="24"/>
      <c r="U32" s="24"/>
      <c r="V32" s="24"/>
      <c r="W32" s="24"/>
      <c r="X32" s="24"/>
      <c r="Y32" s="24"/>
      <c r="Z32" s="24"/>
      <c r="AA32" s="24"/>
    </row>
    <row r="33" spans="8:27" x14ac:dyDescent="0.3">
      <c r="H33" s="24"/>
      <c r="I33" s="24"/>
      <c r="J33" s="24"/>
      <c r="K33" s="24"/>
      <c r="L33" s="24"/>
      <c r="M33" s="24"/>
      <c r="N33" s="24"/>
      <c r="O33" s="24"/>
      <c r="P33" s="24"/>
      <c r="Q33" s="24"/>
      <c r="R33" s="24"/>
      <c r="S33" s="24"/>
      <c r="T33" s="24"/>
      <c r="U33" s="24"/>
      <c r="V33" s="24"/>
      <c r="W33" s="24"/>
      <c r="X33" s="24"/>
      <c r="Y33" s="24"/>
      <c r="Z33" s="24"/>
      <c r="AA33" s="24"/>
    </row>
    <row r="34" spans="8:27" x14ac:dyDescent="0.3">
      <c r="H34" s="24"/>
      <c r="I34" s="24"/>
      <c r="J34" s="24"/>
      <c r="K34" s="24"/>
      <c r="L34" s="24"/>
      <c r="M34" s="24"/>
      <c r="N34" s="24"/>
      <c r="O34" s="24"/>
      <c r="P34" s="24"/>
      <c r="Q34" s="24"/>
      <c r="R34" s="24"/>
      <c r="S34" s="24"/>
      <c r="T34" s="24"/>
      <c r="U34" s="24"/>
      <c r="V34" s="24"/>
      <c r="W34" s="24"/>
      <c r="X34" s="24"/>
      <c r="Y34" s="24"/>
      <c r="Z34" s="24"/>
      <c r="AA34" s="24"/>
    </row>
    <row r="35" spans="8:27" x14ac:dyDescent="0.3">
      <c r="H35" s="24"/>
      <c r="I35" s="24"/>
      <c r="J35" s="24"/>
      <c r="K35" s="24"/>
      <c r="L35" s="24"/>
      <c r="M35" s="24"/>
      <c r="N35" s="24"/>
      <c r="O35" s="24"/>
      <c r="P35" s="24"/>
      <c r="Q35" s="24"/>
      <c r="R35" s="24"/>
      <c r="S35" s="24"/>
      <c r="T35" s="24"/>
      <c r="U35" s="24"/>
      <c r="V35" s="24"/>
      <c r="W35" s="24"/>
      <c r="X35" s="24"/>
      <c r="Y35" s="24"/>
      <c r="Z35" s="24"/>
      <c r="AA35" s="24"/>
    </row>
    <row r="36" spans="8:27" x14ac:dyDescent="0.3">
      <c r="H36" s="24"/>
      <c r="I36" s="24"/>
      <c r="J36" s="24"/>
      <c r="K36" s="24"/>
      <c r="L36" s="24"/>
      <c r="M36" s="24"/>
      <c r="N36" s="24"/>
      <c r="O36" s="24"/>
      <c r="P36" s="24"/>
      <c r="Q36" s="24"/>
      <c r="R36" s="24"/>
      <c r="S36" s="24"/>
      <c r="T36" s="24"/>
      <c r="U36" s="24"/>
      <c r="V36" s="24"/>
      <c r="W36" s="24"/>
      <c r="X36" s="24"/>
      <c r="Y36" s="24"/>
      <c r="Z36" s="24"/>
      <c r="AA36" s="24"/>
    </row>
    <row r="37" spans="8:27" x14ac:dyDescent="0.3">
      <c r="H37" s="24"/>
      <c r="I37" s="24"/>
      <c r="J37" s="24"/>
      <c r="K37" s="24"/>
      <c r="L37" s="24"/>
      <c r="M37" s="24"/>
      <c r="N37" s="24"/>
      <c r="O37" s="24"/>
      <c r="P37" s="24"/>
      <c r="Q37" s="24"/>
      <c r="R37" s="24"/>
      <c r="S37" s="24"/>
      <c r="T37" s="24"/>
      <c r="U37" s="24"/>
      <c r="V37" s="24"/>
      <c r="W37" s="24"/>
      <c r="X37" s="24"/>
      <c r="Y37" s="24"/>
      <c r="Z37" s="24"/>
      <c r="AA37" s="24"/>
    </row>
    <row r="38" spans="8:27" x14ac:dyDescent="0.3">
      <c r="H38" s="24"/>
      <c r="I38" s="24"/>
      <c r="J38" s="24"/>
      <c r="K38" s="24"/>
      <c r="L38" s="24"/>
      <c r="M38" s="24"/>
      <c r="N38" s="24"/>
      <c r="O38" s="24"/>
      <c r="P38" s="24"/>
      <c r="Q38" s="24"/>
      <c r="R38" s="24"/>
      <c r="S38" s="24"/>
      <c r="T38" s="24"/>
      <c r="U38" s="24"/>
      <c r="V38" s="24"/>
      <c r="W38" s="24"/>
      <c r="X38" s="24"/>
      <c r="Y38" s="24"/>
      <c r="Z38" s="24"/>
      <c r="AA38" s="24"/>
    </row>
    <row r="39" spans="8:27" x14ac:dyDescent="0.3">
      <c r="H39" s="24"/>
      <c r="I39" s="24"/>
      <c r="J39" s="24"/>
      <c r="K39" s="24"/>
      <c r="L39" s="24"/>
      <c r="M39" s="24"/>
      <c r="N39" s="24"/>
      <c r="O39" s="24"/>
      <c r="P39" s="24"/>
      <c r="Q39" s="24"/>
      <c r="R39" s="24"/>
      <c r="S39" s="24"/>
      <c r="T39" s="24"/>
      <c r="U39" s="24"/>
      <c r="V39" s="24"/>
      <c r="W39" s="24"/>
      <c r="X39" s="24"/>
      <c r="Y39" s="24"/>
      <c r="Z39" s="24"/>
      <c r="AA39" s="24"/>
    </row>
    <row r="40" spans="8:27" x14ac:dyDescent="0.3">
      <c r="H40" s="24"/>
      <c r="I40" s="24"/>
      <c r="J40" s="24"/>
      <c r="K40" s="24"/>
      <c r="L40" s="24"/>
      <c r="M40" s="24"/>
      <c r="N40" s="24"/>
      <c r="O40" s="24"/>
      <c r="P40" s="24"/>
      <c r="Q40" s="24"/>
      <c r="R40" s="24"/>
      <c r="S40" s="24"/>
      <c r="T40" s="24"/>
      <c r="U40" s="24"/>
      <c r="V40" s="24"/>
      <c r="W40" s="24"/>
      <c r="X40" s="24"/>
      <c r="Y40" s="24"/>
      <c r="Z40" s="24"/>
      <c r="AA40" s="24"/>
    </row>
    <row r="41" spans="8:27" x14ac:dyDescent="0.3">
      <c r="H41" s="24"/>
      <c r="I41" s="24"/>
      <c r="J41" s="24"/>
      <c r="K41" s="24"/>
      <c r="L41" s="24"/>
      <c r="M41" s="24"/>
      <c r="N41" s="24"/>
      <c r="O41" s="24"/>
      <c r="P41" s="24"/>
      <c r="Q41" s="24"/>
      <c r="R41" s="24"/>
      <c r="S41" s="24"/>
      <c r="T41" s="24"/>
      <c r="U41" s="24"/>
      <c r="V41" s="24"/>
      <c r="W41" s="24"/>
      <c r="X41" s="24"/>
      <c r="Y41" s="24"/>
      <c r="Z41" s="24"/>
      <c r="AA41" s="24"/>
    </row>
    <row r="42" spans="8:27" x14ac:dyDescent="0.3">
      <c r="H42" s="24"/>
      <c r="I42" s="24"/>
      <c r="J42" s="24"/>
      <c r="K42" s="24"/>
      <c r="L42" s="24"/>
      <c r="M42" s="24"/>
      <c r="N42" s="24"/>
      <c r="O42" s="24"/>
      <c r="P42" s="24"/>
      <c r="Q42" s="24"/>
      <c r="R42" s="24"/>
      <c r="S42" s="24"/>
      <c r="T42" s="24"/>
      <c r="U42" s="24"/>
      <c r="V42" s="24"/>
      <c r="W42" s="24"/>
      <c r="X42" s="24"/>
      <c r="Y42" s="24"/>
      <c r="Z42" s="24"/>
      <c r="AA42" s="24"/>
    </row>
    <row r="43" spans="8:27" x14ac:dyDescent="0.3">
      <c r="H43" s="24"/>
      <c r="I43" s="24"/>
      <c r="J43" s="24"/>
      <c r="K43" s="24"/>
      <c r="L43" s="24"/>
      <c r="M43" s="24"/>
      <c r="N43" s="24"/>
      <c r="O43" s="24"/>
      <c r="P43" s="24"/>
      <c r="Q43" s="24"/>
      <c r="R43" s="24"/>
      <c r="S43" s="24"/>
      <c r="T43" s="24"/>
      <c r="U43" s="24"/>
      <c r="V43" s="24"/>
      <c r="W43" s="24"/>
      <c r="X43" s="24"/>
      <c r="Y43" s="24"/>
      <c r="Z43" s="24"/>
      <c r="AA43" s="24"/>
    </row>
    <row r="44" spans="8:27" x14ac:dyDescent="0.3">
      <c r="H44" s="24"/>
      <c r="I44" s="24"/>
      <c r="J44" s="24"/>
      <c r="K44" s="24"/>
      <c r="L44" s="24"/>
      <c r="M44" s="24"/>
      <c r="N44" s="24"/>
      <c r="O44" s="24"/>
      <c r="P44" s="24"/>
      <c r="Q44" s="24"/>
      <c r="R44" s="24"/>
      <c r="S44" s="24"/>
      <c r="T44" s="24"/>
      <c r="U44" s="24"/>
      <c r="V44" s="24"/>
      <c r="W44" s="24"/>
      <c r="X44" s="24"/>
      <c r="Y44" s="24"/>
      <c r="Z44" s="24"/>
      <c r="AA44" s="24"/>
    </row>
    <row r="45" spans="8:27" x14ac:dyDescent="0.3">
      <c r="H45" s="24"/>
      <c r="I45" s="24"/>
      <c r="J45" s="24"/>
      <c r="K45" s="24"/>
      <c r="L45" s="24"/>
      <c r="M45" s="24"/>
      <c r="N45" s="24"/>
      <c r="O45" s="24"/>
      <c r="P45" s="24"/>
      <c r="Q45" s="24"/>
      <c r="R45" s="24"/>
      <c r="S45" s="24"/>
      <c r="T45" s="24"/>
      <c r="U45" s="24"/>
      <c r="V45" s="24"/>
      <c r="W45" s="24"/>
      <c r="X45" s="24"/>
      <c r="Y45" s="24"/>
      <c r="Z45" s="24"/>
      <c r="AA45" s="24"/>
    </row>
    <row r="46" spans="8:27" x14ac:dyDescent="0.3">
      <c r="H46" s="24"/>
      <c r="I46" s="24"/>
      <c r="J46" s="24"/>
      <c r="K46" s="24"/>
      <c r="L46" s="24"/>
      <c r="M46" s="24"/>
      <c r="N46" s="24"/>
      <c r="O46" s="24"/>
      <c r="P46" s="24"/>
      <c r="Q46" s="24"/>
      <c r="R46" s="24"/>
      <c r="S46" s="24"/>
      <c r="T46" s="24"/>
      <c r="U46" s="24"/>
      <c r="V46" s="24"/>
      <c r="W46" s="24"/>
      <c r="X46" s="24"/>
      <c r="Y46" s="24"/>
      <c r="Z46" s="24"/>
      <c r="AA46" s="24"/>
    </row>
    <row r="47" spans="8:27" x14ac:dyDescent="0.3">
      <c r="H47" s="24"/>
      <c r="I47" s="24"/>
      <c r="J47" s="24"/>
      <c r="K47" s="24"/>
      <c r="L47" s="24"/>
      <c r="M47" s="24"/>
      <c r="N47" s="24"/>
      <c r="O47" s="24"/>
      <c r="P47" s="24"/>
      <c r="Q47" s="24"/>
      <c r="R47" s="24"/>
      <c r="S47" s="24"/>
      <c r="T47" s="24"/>
      <c r="U47" s="24"/>
      <c r="V47" s="24"/>
      <c r="W47" s="24"/>
      <c r="X47" s="24"/>
      <c r="Y47" s="24"/>
      <c r="Z47" s="24"/>
      <c r="AA47" s="24"/>
    </row>
    <row r="48" spans="8:27" x14ac:dyDescent="0.3">
      <c r="H48" s="24"/>
      <c r="I48" s="24"/>
      <c r="J48" s="24"/>
      <c r="K48" s="24"/>
      <c r="L48" s="24"/>
      <c r="M48" s="24"/>
      <c r="N48" s="24"/>
      <c r="O48" s="24"/>
      <c r="P48" s="24"/>
      <c r="Q48" s="24"/>
      <c r="R48" s="24"/>
      <c r="S48" s="24"/>
      <c r="T48" s="24"/>
      <c r="U48" s="24"/>
      <c r="V48" s="24"/>
      <c r="W48" s="24"/>
      <c r="X48" s="24"/>
      <c r="Y48" s="24"/>
      <c r="Z48" s="24"/>
      <c r="AA48" s="24"/>
    </row>
    <row r="49" spans="8:27" x14ac:dyDescent="0.3">
      <c r="H49" s="24"/>
      <c r="I49" s="24"/>
      <c r="J49" s="24"/>
      <c r="K49" s="24"/>
      <c r="L49" s="24"/>
      <c r="M49" s="24"/>
      <c r="N49" s="24"/>
      <c r="O49" s="24"/>
      <c r="P49" s="24"/>
      <c r="Q49" s="24"/>
      <c r="R49" s="24"/>
      <c r="S49" s="24"/>
      <c r="T49" s="24"/>
      <c r="U49" s="24"/>
      <c r="V49" s="24"/>
      <c r="W49" s="24"/>
      <c r="X49" s="24"/>
      <c r="Y49" s="24"/>
      <c r="Z49" s="24"/>
      <c r="AA49" s="24"/>
    </row>
    <row r="50" spans="8:27" x14ac:dyDescent="0.3">
      <c r="H50" s="24"/>
      <c r="I50" s="24"/>
      <c r="J50" s="24"/>
      <c r="K50" s="24"/>
      <c r="L50" s="24"/>
      <c r="M50" s="24"/>
      <c r="N50" s="24"/>
      <c r="O50" s="24"/>
      <c r="P50" s="24"/>
      <c r="Q50" s="24"/>
      <c r="R50" s="24"/>
      <c r="S50" s="24"/>
      <c r="T50" s="24"/>
      <c r="U50" s="24"/>
      <c r="V50" s="24"/>
      <c r="W50" s="24"/>
      <c r="X50" s="24"/>
      <c r="Y50" s="24"/>
      <c r="Z50" s="24"/>
      <c r="AA50" s="24"/>
    </row>
    <row r="51" spans="8:27" x14ac:dyDescent="0.3">
      <c r="H51" s="24"/>
      <c r="I51" s="24"/>
      <c r="J51" s="24"/>
      <c r="K51" s="24"/>
      <c r="L51" s="24"/>
      <c r="M51" s="24"/>
      <c r="N51" s="24"/>
      <c r="O51" s="24"/>
      <c r="P51" s="24"/>
      <c r="Q51" s="24"/>
      <c r="R51" s="24"/>
      <c r="S51" s="24"/>
      <c r="T51" s="24"/>
      <c r="U51" s="24"/>
      <c r="V51" s="24"/>
      <c r="W51" s="24"/>
      <c r="X51" s="24"/>
      <c r="Y51" s="24"/>
      <c r="Z51" s="24"/>
      <c r="AA51" s="24"/>
    </row>
    <row r="52" spans="8:27" x14ac:dyDescent="0.3">
      <c r="H52" s="24"/>
      <c r="I52" s="24"/>
      <c r="J52" s="24"/>
      <c r="K52" s="24"/>
      <c r="L52" s="24"/>
      <c r="M52" s="24"/>
      <c r="N52" s="24"/>
      <c r="O52" s="24"/>
      <c r="P52" s="24"/>
      <c r="Q52" s="24"/>
      <c r="R52" s="24"/>
      <c r="S52" s="24"/>
      <c r="T52" s="24"/>
      <c r="U52" s="24"/>
      <c r="V52" s="24"/>
      <c r="W52" s="24"/>
      <c r="X52" s="24"/>
      <c r="Y52" s="24"/>
      <c r="Z52" s="24"/>
      <c r="AA52" s="24"/>
    </row>
    <row r="53" spans="8:27" x14ac:dyDescent="0.3">
      <c r="H53" s="24"/>
      <c r="I53" s="24"/>
      <c r="J53" s="24"/>
      <c r="K53" s="24"/>
      <c r="L53" s="24"/>
      <c r="M53" s="24"/>
      <c r="N53" s="24"/>
      <c r="O53" s="24"/>
      <c r="P53" s="24"/>
      <c r="Q53" s="24"/>
      <c r="R53" s="24"/>
      <c r="S53" s="24"/>
      <c r="T53" s="24"/>
      <c r="U53" s="24"/>
      <c r="V53" s="24"/>
      <c r="W53" s="24"/>
      <c r="X53" s="24"/>
      <c r="Y53" s="24"/>
      <c r="Z53" s="24"/>
      <c r="AA53" s="24"/>
    </row>
    <row r="54" spans="8:27" x14ac:dyDescent="0.3">
      <c r="H54" s="24"/>
      <c r="I54" s="24"/>
      <c r="J54" s="24"/>
      <c r="K54" s="24"/>
      <c r="L54" s="24"/>
      <c r="M54" s="24"/>
      <c r="N54" s="24"/>
      <c r="O54" s="24"/>
      <c r="P54" s="24"/>
      <c r="Q54" s="24"/>
      <c r="R54" s="24"/>
      <c r="S54" s="24"/>
      <c r="T54" s="24"/>
      <c r="U54" s="24"/>
      <c r="V54" s="24"/>
      <c r="W54" s="24"/>
      <c r="X54" s="24"/>
      <c r="Y54" s="24"/>
      <c r="Z54" s="24"/>
      <c r="AA54" s="24"/>
    </row>
    <row r="55" spans="8:27" x14ac:dyDescent="0.3">
      <c r="H55" s="24"/>
      <c r="I55" s="24"/>
      <c r="J55" s="24"/>
      <c r="K55" s="24"/>
      <c r="L55" s="24"/>
      <c r="M55" s="24"/>
      <c r="N55" s="24"/>
      <c r="O55" s="24"/>
      <c r="P55" s="24"/>
      <c r="Q55" s="24"/>
      <c r="R55" s="24"/>
      <c r="S55" s="24"/>
      <c r="T55" s="24"/>
      <c r="U55" s="24"/>
      <c r="V55" s="24"/>
      <c r="W55" s="24"/>
      <c r="X55" s="24"/>
      <c r="Y55" s="24"/>
      <c r="Z55" s="24"/>
      <c r="AA55" s="24"/>
    </row>
    <row r="56" spans="8:27" x14ac:dyDescent="0.3">
      <c r="H56" s="24"/>
      <c r="I56" s="24"/>
      <c r="J56" s="24"/>
      <c r="K56" s="24"/>
      <c r="L56" s="24"/>
      <c r="M56" s="24"/>
      <c r="N56" s="24"/>
      <c r="O56" s="24"/>
      <c r="P56" s="24"/>
      <c r="Q56" s="24"/>
      <c r="R56" s="24"/>
      <c r="S56" s="24"/>
      <c r="T56" s="24"/>
      <c r="U56" s="24"/>
      <c r="V56" s="24"/>
      <c r="W56" s="24"/>
      <c r="X56" s="24"/>
      <c r="Y56" s="24"/>
      <c r="Z56" s="24"/>
      <c r="AA56" s="24"/>
    </row>
    <row r="57" spans="8:27" x14ac:dyDescent="0.3">
      <c r="H57" s="24"/>
      <c r="I57" s="24"/>
      <c r="J57" s="24"/>
      <c r="K57" s="24"/>
      <c r="L57" s="24"/>
      <c r="M57" s="24"/>
      <c r="N57" s="24"/>
      <c r="O57" s="24"/>
      <c r="P57" s="24"/>
      <c r="Q57" s="24"/>
      <c r="R57" s="24"/>
      <c r="S57" s="24"/>
      <c r="T57" s="24"/>
      <c r="U57" s="24"/>
      <c r="V57" s="24"/>
      <c r="W57" s="24"/>
      <c r="X57" s="24"/>
      <c r="Y57" s="24"/>
      <c r="Z57" s="24"/>
      <c r="AA57" s="24"/>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7</xdr:col>
                    <xdr:colOff>373380</xdr:colOff>
                    <xdr:row>24</xdr:row>
                    <xdr:rowOff>167640</xdr:rowOff>
                  </from>
                  <to>
                    <xdr:col>8</xdr:col>
                    <xdr:colOff>15240</xdr:colOff>
                    <xdr:row>35</xdr:row>
                    <xdr:rowOff>91440</xdr:rowOff>
                  </to>
                </anchor>
              </controlPr>
            </control>
          </mc:Choice>
        </mc:AlternateContent>
        <mc:AlternateContent xmlns:mc="http://schemas.openxmlformats.org/markup-compatibility/2006">
          <mc:Choice Requires="x14">
            <control shapeId="7173" r:id="rId4" name="Drop Down 5">
              <controlPr defaultSize="0" autoLine="0" autoPict="0">
                <anchor moveWithCells="1">
                  <from>
                    <xdr:col>19</xdr:col>
                    <xdr:colOff>129540</xdr:colOff>
                    <xdr:row>16</xdr:row>
                    <xdr:rowOff>129540</xdr:rowOff>
                  </from>
                  <to>
                    <xdr:col>20</xdr:col>
                    <xdr:colOff>548640</xdr:colOff>
                    <xdr:row>18</xdr:row>
                    <xdr:rowOff>0</xdr:rowOff>
                  </to>
                </anchor>
              </controlPr>
            </control>
          </mc:Choice>
        </mc:AlternateContent>
        <mc:AlternateContent xmlns:mc="http://schemas.openxmlformats.org/markup-compatibility/2006">
          <mc:Choice Requires="x14">
            <control shapeId="7174" r:id="rId5" name="Drop Down 6">
              <controlPr defaultSize="0" autoLine="0" autoPict="0">
                <anchor moveWithCells="1">
                  <from>
                    <xdr:col>16</xdr:col>
                    <xdr:colOff>350520</xdr:colOff>
                    <xdr:row>16</xdr:row>
                    <xdr:rowOff>129540</xdr:rowOff>
                  </from>
                  <to>
                    <xdr:col>18</xdr:col>
                    <xdr:colOff>670560</xdr:colOff>
                    <xdr:row>17</xdr:row>
                    <xdr:rowOff>175260</xdr:rowOff>
                  </to>
                </anchor>
              </controlPr>
            </control>
          </mc:Choice>
        </mc:AlternateContent>
        <mc:AlternateContent xmlns:mc="http://schemas.openxmlformats.org/markup-compatibility/2006">
          <mc:Choice Requires="x14">
            <control shapeId="7397" r:id="rId6" name="Drop Down 229">
              <controlPr defaultSize="0" autoLine="0" autoPict="0">
                <anchor moveWithCells="1">
                  <from>
                    <xdr:col>20</xdr:col>
                    <xdr:colOff>320040</xdr:colOff>
                    <xdr:row>10</xdr:row>
                    <xdr:rowOff>60960</xdr:rowOff>
                  </from>
                  <to>
                    <xdr:col>23</xdr:col>
                    <xdr:colOff>464820</xdr:colOff>
                    <xdr:row>12</xdr:row>
                    <xdr:rowOff>15240</xdr:rowOff>
                  </to>
                </anchor>
              </controlPr>
            </control>
          </mc:Choice>
        </mc:AlternateContent>
        <mc:AlternateContent xmlns:mc="http://schemas.openxmlformats.org/markup-compatibility/2006">
          <mc:Choice Requires="x14">
            <control shapeId="7399" r:id="rId7" name="Drop Down 231">
              <controlPr defaultSize="0" autoLine="0" autoPict="0">
                <anchor moveWithCells="1">
                  <from>
                    <xdr:col>8</xdr:col>
                    <xdr:colOff>693420</xdr:colOff>
                    <xdr:row>8</xdr:row>
                    <xdr:rowOff>167640</xdr:rowOff>
                  </from>
                  <to>
                    <xdr:col>11</xdr:col>
                    <xdr:colOff>7620</xdr:colOff>
                    <xdr:row>10</xdr:row>
                    <xdr:rowOff>22860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whole" operator="greaterThanOrEqual" allowBlank="1" showInputMessage="1" showErrorMessage="1" xr:uid="{5C16CC30-80F3-4085-AD38-E7F1F06FD846}">
          <x14:formula1>
            <xm:f>YEAR(calculation!D5)</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6"/>
  <sheetViews>
    <sheetView workbookViewId="0">
      <selection activeCell="B5" sqref="B5"/>
    </sheetView>
  </sheetViews>
  <sheetFormatPr defaultRowHeight="14.4" x14ac:dyDescent="0.3"/>
  <cols>
    <col min="1" max="1" width="37.88671875" customWidth="1"/>
    <col min="2" max="2" width="40.6640625" customWidth="1"/>
    <col min="3" max="3" width="36.88671875" customWidth="1"/>
    <col min="4" max="4" width="34" customWidth="1"/>
  </cols>
  <sheetData>
    <row r="3" spans="1:4" x14ac:dyDescent="0.3">
      <c r="A3" s="50"/>
      <c r="B3" s="51" t="s">
        <v>78</v>
      </c>
      <c r="C3" s="51" t="s">
        <v>79</v>
      </c>
      <c r="D3" s="51" t="s">
        <v>77</v>
      </c>
    </row>
    <row r="4" spans="1:4" ht="72" customHeight="1" x14ac:dyDescent="0.3">
      <c r="A4" s="52" t="s">
        <v>178</v>
      </c>
      <c r="B4" s="50" t="s">
        <v>414</v>
      </c>
      <c r="C4" s="53" t="s">
        <v>424</v>
      </c>
      <c r="D4" s="50" t="s">
        <v>421</v>
      </c>
    </row>
    <row r="5" spans="1:4" ht="57.6" customHeight="1" x14ac:dyDescent="0.3">
      <c r="A5" s="52"/>
      <c r="B5" s="50" t="s">
        <v>415</v>
      </c>
      <c r="C5" s="50" t="s">
        <v>425</v>
      </c>
      <c r="D5" s="50" t="s">
        <v>422</v>
      </c>
    </row>
    <row r="6" spans="1:4" ht="86.4" customHeight="1" x14ac:dyDescent="0.3">
      <c r="A6" s="52"/>
      <c r="B6" s="50" t="s">
        <v>416</v>
      </c>
      <c r="C6" s="50" t="s">
        <v>426</v>
      </c>
      <c r="D6" s="50" t="s">
        <v>423</v>
      </c>
    </row>
    <row r="7" spans="1:4" ht="72" customHeight="1" x14ac:dyDescent="0.3">
      <c r="A7" s="52"/>
      <c r="B7" s="50" t="s">
        <v>417</v>
      </c>
      <c r="C7" s="50" t="s">
        <v>427</v>
      </c>
      <c r="D7" s="50"/>
    </row>
    <row r="8" spans="1:4" ht="72" customHeight="1" x14ac:dyDescent="0.3">
      <c r="A8" s="52"/>
      <c r="B8" s="50" t="s">
        <v>418</v>
      </c>
      <c r="C8" s="50" t="s">
        <v>428</v>
      </c>
      <c r="D8" s="50"/>
    </row>
    <row r="9" spans="1:4" ht="72" customHeight="1" x14ac:dyDescent="0.3">
      <c r="A9" s="52"/>
      <c r="B9" s="50" t="s">
        <v>419</v>
      </c>
      <c r="C9" s="50" t="s">
        <v>429</v>
      </c>
      <c r="D9" s="50"/>
    </row>
    <row r="10" spans="1:4" ht="72" customHeight="1" x14ac:dyDescent="0.3">
      <c r="A10" s="52"/>
      <c r="B10" s="50" t="s">
        <v>420</v>
      </c>
      <c r="C10" s="50" t="s">
        <v>430</v>
      </c>
      <c r="D10" s="50"/>
    </row>
    <row r="11" spans="1:4" ht="72" customHeight="1" x14ac:dyDescent="0.3">
      <c r="A11" s="52" t="s">
        <v>313</v>
      </c>
      <c r="B11" s="50" t="s">
        <v>431</v>
      </c>
      <c r="C11" s="50" t="s">
        <v>442</v>
      </c>
      <c r="D11" s="50" t="s">
        <v>439</v>
      </c>
    </row>
    <row r="12" spans="1:4" ht="86.4" customHeight="1" x14ac:dyDescent="0.3">
      <c r="A12" s="52"/>
      <c r="B12" s="50" t="s">
        <v>432</v>
      </c>
      <c r="C12" s="50" t="s">
        <v>443</v>
      </c>
      <c r="D12" s="50" t="s">
        <v>440</v>
      </c>
    </row>
    <row r="13" spans="1:4" ht="72" customHeight="1" x14ac:dyDescent="0.3">
      <c r="A13" s="52"/>
      <c r="B13" s="53" t="s">
        <v>433</v>
      </c>
      <c r="C13" s="50" t="s">
        <v>444</v>
      </c>
      <c r="D13" s="50" t="s">
        <v>441</v>
      </c>
    </row>
    <row r="14" spans="1:4" ht="57.6" customHeight="1" x14ac:dyDescent="0.3">
      <c r="A14" s="52"/>
      <c r="B14" s="50" t="s">
        <v>434</v>
      </c>
      <c r="C14" s="50"/>
      <c r="D14" s="50"/>
    </row>
    <row r="15" spans="1:4" ht="28.8" x14ac:dyDescent="0.3">
      <c r="A15" s="52"/>
      <c r="B15" s="50" t="s">
        <v>435</v>
      </c>
      <c r="C15" s="50"/>
      <c r="D15" s="50"/>
    </row>
    <row r="16" spans="1:4" ht="28.8" x14ac:dyDescent="0.3">
      <c r="A16" s="52"/>
      <c r="B16" s="50" t="s">
        <v>436</v>
      </c>
      <c r="C16" s="50"/>
      <c r="D16" s="50"/>
    </row>
    <row r="17" spans="1:4" ht="43.2" x14ac:dyDescent="0.3">
      <c r="A17" s="52"/>
      <c r="B17" s="50" t="s">
        <v>437</v>
      </c>
      <c r="C17" s="50"/>
      <c r="D17" s="50"/>
    </row>
    <row r="18" spans="1:4" ht="28.8" x14ac:dyDescent="0.3">
      <c r="A18" s="52"/>
      <c r="B18" s="50" t="s">
        <v>438</v>
      </c>
      <c r="C18" s="50"/>
      <c r="D18" s="50"/>
    </row>
    <row r="19" spans="1:4" ht="86.4" x14ac:dyDescent="0.3">
      <c r="A19" s="52" t="s">
        <v>7</v>
      </c>
      <c r="B19" s="50" t="s">
        <v>445</v>
      </c>
      <c r="C19" s="50" t="s">
        <v>450</v>
      </c>
      <c r="D19" s="50" t="s">
        <v>449</v>
      </c>
    </row>
    <row r="20" spans="1:4" ht="100.8" x14ac:dyDescent="0.3">
      <c r="A20" s="52"/>
      <c r="B20" s="50" t="s">
        <v>446</v>
      </c>
      <c r="C20" s="50" t="s">
        <v>451</v>
      </c>
      <c r="D20" s="50"/>
    </row>
    <row r="21" spans="1:4" ht="43.2" x14ac:dyDescent="0.3">
      <c r="A21" s="52"/>
      <c r="B21" s="50" t="s">
        <v>447</v>
      </c>
      <c r="C21" s="50"/>
      <c r="D21" s="50"/>
    </row>
    <row r="22" spans="1:4" ht="43.2" x14ac:dyDescent="0.3">
      <c r="A22" s="52"/>
      <c r="B22" s="50" t="s">
        <v>448</v>
      </c>
      <c r="C22" s="50"/>
      <c r="D22" s="50"/>
    </row>
    <row r="23" spans="1:4" ht="57.6" x14ac:dyDescent="0.3">
      <c r="A23" s="52" t="s">
        <v>134</v>
      </c>
      <c r="B23" s="50" t="s">
        <v>452</v>
      </c>
      <c r="C23" s="50" t="s">
        <v>455</v>
      </c>
      <c r="D23" s="50" t="s">
        <v>454</v>
      </c>
    </row>
    <row r="24" spans="1:4" ht="57.6" x14ac:dyDescent="0.3">
      <c r="A24" s="52"/>
      <c r="B24" s="50" t="s">
        <v>453</v>
      </c>
      <c r="C24" s="53" t="s">
        <v>456</v>
      </c>
      <c r="D24" s="50"/>
    </row>
    <row r="25" spans="1:4" ht="28.8" x14ac:dyDescent="0.3">
      <c r="A25" s="52"/>
      <c r="B25" s="50"/>
      <c r="C25" s="50" t="s">
        <v>457</v>
      </c>
      <c r="D25" s="50"/>
    </row>
    <row r="26" spans="1:4" ht="43.2" x14ac:dyDescent="0.3">
      <c r="A26" s="52"/>
      <c r="B26" s="50"/>
      <c r="C26" s="50" t="s">
        <v>458</v>
      </c>
      <c r="D26" s="50"/>
    </row>
    <row r="27" spans="1:4" ht="57.6" x14ac:dyDescent="0.3">
      <c r="A27" s="52"/>
      <c r="B27" s="50"/>
      <c r="C27" s="50" t="s">
        <v>459</v>
      </c>
      <c r="D27" s="50"/>
    </row>
    <row r="28" spans="1:4" ht="72" x14ac:dyDescent="0.3">
      <c r="A28" s="54" t="s">
        <v>164</v>
      </c>
      <c r="B28" s="38" t="s">
        <v>460</v>
      </c>
      <c r="C28" s="38" t="s">
        <v>463</v>
      </c>
      <c r="D28" s="38" t="s">
        <v>462</v>
      </c>
    </row>
    <row r="29" spans="1:4" ht="28.8" x14ac:dyDescent="0.3">
      <c r="A29" s="54"/>
      <c r="B29" s="38" t="s">
        <v>461</v>
      </c>
      <c r="C29" s="38" t="s">
        <v>464</v>
      </c>
      <c r="D29" s="38"/>
    </row>
    <row r="30" spans="1:4" ht="43.2" x14ac:dyDescent="0.3">
      <c r="A30" s="54"/>
      <c r="B30" s="38"/>
      <c r="C30" s="38" t="s">
        <v>465</v>
      </c>
      <c r="D30" s="38"/>
    </row>
    <row r="31" spans="1:4" ht="86.4" x14ac:dyDescent="0.3">
      <c r="A31" s="52" t="s">
        <v>89</v>
      </c>
      <c r="B31" s="53" t="s">
        <v>466</v>
      </c>
      <c r="C31" s="53" t="s">
        <v>472</v>
      </c>
      <c r="D31" s="53" t="s">
        <v>470</v>
      </c>
    </row>
    <row r="32" spans="1:4" ht="86.4" x14ac:dyDescent="0.3">
      <c r="A32" s="52"/>
      <c r="B32" s="53" t="s">
        <v>467</v>
      </c>
      <c r="C32" s="53" t="s">
        <v>473</v>
      </c>
      <c r="D32" s="53" t="s">
        <v>471</v>
      </c>
    </row>
    <row r="33" spans="1:4" ht="57.6" x14ac:dyDescent="0.3">
      <c r="A33" s="52"/>
      <c r="B33" s="53" t="s">
        <v>468</v>
      </c>
      <c r="C33" s="53" t="s">
        <v>474</v>
      </c>
      <c r="D33" s="50"/>
    </row>
    <row r="34" spans="1:4" ht="57.6" x14ac:dyDescent="0.3">
      <c r="A34" s="52"/>
      <c r="B34" s="53" t="s">
        <v>469</v>
      </c>
      <c r="C34" s="50"/>
      <c r="D34" s="50"/>
    </row>
    <row r="35" spans="1:4" ht="72" x14ac:dyDescent="0.3">
      <c r="A35" s="52" t="s">
        <v>171</v>
      </c>
      <c r="B35" s="50" t="s">
        <v>475</v>
      </c>
      <c r="C35" s="50" t="s">
        <v>478</v>
      </c>
      <c r="D35" s="50" t="s">
        <v>477</v>
      </c>
    </row>
    <row r="36" spans="1:4" ht="28.8" x14ac:dyDescent="0.3">
      <c r="A36" s="52"/>
      <c r="B36" s="50" t="s">
        <v>476</v>
      </c>
      <c r="C36" s="50"/>
      <c r="D36" s="50"/>
    </row>
  </sheetData>
  <mergeCells count="7">
    <mergeCell ref="A4:A10"/>
    <mergeCell ref="A11:A18"/>
    <mergeCell ref="A19:A22"/>
    <mergeCell ref="A23:A27"/>
    <mergeCell ref="A28:A30"/>
    <mergeCell ref="A31:A34"/>
    <mergeCell ref="A35: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9B70-0FD5-4C1D-9CA7-52F1BD9F4186}">
  <dimension ref="A5:E8"/>
  <sheetViews>
    <sheetView showGridLines="0" workbookViewId="0">
      <selection activeCell="A6" sqref="A6"/>
    </sheetView>
  </sheetViews>
  <sheetFormatPr defaultRowHeight="14.4" x14ac:dyDescent="0.3"/>
  <cols>
    <col min="1" max="1" width="13.6640625" style="34" customWidth="1"/>
    <col min="2" max="2" width="10.5546875" style="40" bestFit="1" customWidth="1"/>
    <col min="3" max="3" width="8.88671875" style="34"/>
    <col min="4" max="4" width="53.77734375" style="33" customWidth="1"/>
    <col min="5" max="5" width="49.44140625" style="33" customWidth="1"/>
  </cols>
  <sheetData>
    <row r="5" spans="1:5" x14ac:dyDescent="0.3">
      <c r="A5" s="41" t="s">
        <v>82</v>
      </c>
      <c r="B5" s="42" t="s">
        <v>0</v>
      </c>
      <c r="C5" s="41" t="s">
        <v>13</v>
      </c>
      <c r="D5" s="41" t="s">
        <v>14</v>
      </c>
      <c r="E5" s="41" t="s">
        <v>15</v>
      </c>
    </row>
    <row r="6" spans="1:5" ht="72" x14ac:dyDescent="0.3">
      <c r="A6" s="34" t="e" cm="1" vm="1">
        <f t="array" ref="A6">CHOOSE(calculation!$D$3,FetchingFood,FetchingCondiment,FetchingPackage,FetchingPricing,FetchingExperience,FetchingService,FetchingMiscellaneous)</f>
        <v>#VALUE!</v>
      </c>
    </row>
    <row r="7" spans="1:5" ht="57.6" x14ac:dyDescent="0.3"/>
    <row r="8" spans="1:5" ht="72"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2:CE98"/>
  <sheetViews>
    <sheetView topLeftCell="AF1" zoomScale="87" zoomScaleNormal="61" workbookViewId="0">
      <selection activeCell="X8" sqref="X8"/>
    </sheetView>
  </sheetViews>
  <sheetFormatPr defaultRowHeight="14.4" x14ac:dyDescent="0.3"/>
  <cols>
    <col min="2" max="2" width="9" bestFit="1" customWidth="1"/>
    <col min="3" max="3" width="18.44140625" customWidth="1"/>
    <col min="4" max="4" width="14.109375" customWidth="1"/>
    <col min="5" max="5" width="10.88671875" bestFit="1" customWidth="1"/>
    <col min="6" max="7" width="10.88671875" customWidth="1"/>
    <col min="8" max="8" width="11" bestFit="1" customWidth="1"/>
    <col min="9" max="9" width="10.88671875" bestFit="1" customWidth="1"/>
    <col min="10" max="10" width="9" bestFit="1" customWidth="1"/>
    <col min="11" max="11" width="11.5546875" bestFit="1" customWidth="1"/>
    <col min="12" max="12" width="14.21875" customWidth="1"/>
    <col min="14" max="14" width="38.77734375" customWidth="1"/>
    <col min="15" max="15" width="18.44140625" customWidth="1"/>
    <col min="24" max="24" width="13.5546875" customWidth="1"/>
    <col min="25" max="25" width="13" style="7" customWidth="1"/>
    <col min="26" max="28" width="17.88671875" customWidth="1"/>
    <col min="29" max="29" width="9" bestFit="1" customWidth="1"/>
    <col min="30" max="30" width="29.33203125" customWidth="1"/>
    <col min="31" max="31" width="27.88671875" customWidth="1"/>
    <col min="32" max="32" width="13.6640625" bestFit="1" customWidth="1"/>
    <col min="34" max="34" width="13.6640625" bestFit="1" customWidth="1"/>
    <col min="35" max="35" width="17.44140625" bestFit="1" customWidth="1"/>
    <col min="36" max="36" width="16.6640625" bestFit="1" customWidth="1"/>
    <col min="37" max="37" width="18.33203125" bestFit="1" customWidth="1"/>
    <col min="38" max="38" width="12.21875" customWidth="1"/>
    <col min="39" max="39" width="9" bestFit="1" customWidth="1"/>
    <col min="41" max="41" width="9" bestFit="1" customWidth="1"/>
    <col min="43" max="43" width="20.6640625" customWidth="1"/>
    <col min="44" max="44" width="10.44140625" bestFit="1" customWidth="1"/>
    <col min="45" max="47" width="9" bestFit="1" customWidth="1"/>
    <col min="48" max="48" width="11.21875" customWidth="1"/>
    <col min="50" max="50" width="24.21875" customWidth="1"/>
    <col min="51" max="53" width="9" bestFit="1" customWidth="1"/>
    <col min="55" max="58" width="9" bestFit="1" customWidth="1"/>
    <col min="61" max="61" width="11.21875" bestFit="1" customWidth="1"/>
    <col min="64" max="64" width="11" bestFit="1" customWidth="1"/>
    <col min="65" max="65" width="11.6640625" bestFit="1" customWidth="1"/>
    <col min="66" max="69" width="9.109375" bestFit="1" customWidth="1"/>
    <col min="70" max="70" width="14.5546875" customWidth="1"/>
    <col min="71" max="71" width="13" customWidth="1"/>
    <col min="72" max="72" width="13.88671875" customWidth="1"/>
    <col min="73" max="73" width="14.77734375" customWidth="1"/>
    <col min="74" max="74" width="20" customWidth="1"/>
    <col min="75" max="75" width="13" customWidth="1"/>
    <col min="76" max="77" width="9" bestFit="1" customWidth="1"/>
    <col min="79" max="79" width="11.77734375" bestFit="1" customWidth="1"/>
    <col min="80" max="80" width="11.21875" bestFit="1" customWidth="1"/>
    <col min="81" max="84" width="9" bestFit="1" customWidth="1"/>
    <col min="85" max="85" width="10.5546875" bestFit="1" customWidth="1"/>
    <col min="86" max="86" width="11.33203125" customWidth="1"/>
    <col min="87" max="91" width="9" bestFit="1" customWidth="1"/>
    <col min="92" max="92" width="9" customWidth="1"/>
    <col min="94" max="94" width="11.88671875" customWidth="1"/>
    <col min="95" max="95" width="22.88671875" customWidth="1"/>
    <col min="96" max="97" width="16.77734375" customWidth="1"/>
    <col min="98" max="98" width="20" customWidth="1"/>
    <col min="99" max="99" width="29.6640625" customWidth="1"/>
    <col min="100" max="100" width="18.33203125" customWidth="1"/>
    <col min="101" max="101" width="21.6640625" customWidth="1"/>
  </cols>
  <sheetData>
    <row r="2" spans="2:83" x14ac:dyDescent="0.3">
      <c r="B2" s="1" t="s">
        <v>8</v>
      </c>
      <c r="C2" s="2"/>
      <c r="D2" s="2"/>
    </row>
    <row r="3" spans="2:83" x14ac:dyDescent="0.3">
      <c r="C3" t="s">
        <v>9</v>
      </c>
      <c r="D3">
        <v>6</v>
      </c>
      <c r="Y3"/>
      <c r="BI3" s="1" t="s">
        <v>48</v>
      </c>
      <c r="BJ3" s="2"/>
      <c r="BK3" s="2"/>
      <c r="BL3" s="2"/>
      <c r="BM3" s="2"/>
      <c r="BN3" s="2"/>
      <c r="BO3" s="2"/>
      <c r="BP3" s="2"/>
      <c r="BQ3" s="2"/>
      <c r="BR3" s="2"/>
    </row>
    <row r="4" spans="2:83" x14ac:dyDescent="0.3">
      <c r="C4" t="s">
        <v>34</v>
      </c>
      <c r="D4">
        <v>1</v>
      </c>
      <c r="I4" s="7"/>
      <c r="X4" s="7"/>
      <c r="Y4"/>
      <c r="BK4" t="s">
        <v>56</v>
      </c>
    </row>
    <row r="5" spans="2:83" x14ac:dyDescent="0.3">
      <c r="C5" t="s">
        <v>69</v>
      </c>
      <c r="D5" s="7">
        <f>IF(MONTH(MIN(TableTrend[review_time]))=1,DATE(YEAR(MIN(TableTrend[review_time])),1,1),DATE(YEAR(MIN(TableTrend[review_time])),MONTH(MIN(TableTrend[review_time]))-1,1))</f>
        <v>41334</v>
      </c>
      <c r="E5" s="7"/>
      <c r="F5" s="7"/>
      <c r="G5" s="7"/>
      <c r="Z5" s="7"/>
      <c r="AA5" s="7"/>
      <c r="AW5" s="17" t="s">
        <v>36</v>
      </c>
      <c r="AX5" s="17" t="s">
        <v>37</v>
      </c>
      <c r="BI5" s="22">
        <v>41382</v>
      </c>
      <c r="BK5" t="s">
        <v>73</v>
      </c>
      <c r="BT5" s="5"/>
    </row>
    <row r="6" spans="2:83" x14ac:dyDescent="0.3">
      <c r="C6" t="s">
        <v>70</v>
      </c>
      <c r="D6" s="7">
        <f>IF(MONTH(MAX(TableTrend[review_time]))=12,DATE(YEAR(MAX(TableTrend[review_time])),1,31),DATE(YEAR(MAX(TableTrend[review_time])),MONTH(MAX(TableTrend[review_time]))+1,1))</f>
        <v>43496</v>
      </c>
      <c r="E6" s="7"/>
      <c r="F6" s="1" t="s">
        <v>74</v>
      </c>
      <c r="G6" s="2"/>
      <c r="J6" s="1" t="s">
        <v>18</v>
      </c>
      <c r="K6" s="2"/>
      <c r="L6" s="2"/>
      <c r="M6" s="2"/>
      <c r="N6" s="2"/>
      <c r="O6" s="2"/>
      <c r="P6" s="2"/>
      <c r="Q6" s="2"/>
      <c r="R6" s="2"/>
      <c r="S6" s="2"/>
      <c r="X6" s="1" t="s">
        <v>19</v>
      </c>
      <c r="Y6" s="2"/>
      <c r="Z6" s="2"/>
      <c r="AA6" s="2"/>
      <c r="AB6" s="2"/>
      <c r="AC6" s="2"/>
      <c r="AD6" s="2"/>
      <c r="AE6" s="2"/>
      <c r="AF6" s="2"/>
      <c r="AG6" s="2"/>
      <c r="AH6" s="2"/>
      <c r="AI6" s="2"/>
      <c r="AJ6" s="2"/>
      <c r="AK6" s="2"/>
      <c r="AL6" s="2"/>
      <c r="AM6" s="2"/>
      <c r="AN6" s="2"/>
      <c r="AO6" s="2"/>
      <c r="AP6" s="2"/>
      <c r="AQ6" s="2"/>
      <c r="AR6" s="2"/>
      <c r="AS6" s="2"/>
      <c r="AT6" s="2"/>
      <c r="AU6" s="2"/>
      <c r="AW6" s="1" t="s">
        <v>35</v>
      </c>
      <c r="AX6" s="2"/>
      <c r="AY6" s="2"/>
      <c r="AZ6" s="2"/>
      <c r="BA6" s="2"/>
      <c r="BB6" s="2"/>
      <c r="BC6" s="2"/>
      <c r="BD6" s="2"/>
      <c r="BE6" s="2"/>
      <c r="BF6" s="2"/>
      <c r="BI6" s="22">
        <v>41616</v>
      </c>
      <c r="BK6" t="s">
        <v>50</v>
      </c>
      <c r="BL6" s="28"/>
      <c r="BM6" s="28" t="s">
        <v>0</v>
      </c>
      <c r="BN6" s="28" t="s">
        <v>23</v>
      </c>
      <c r="BO6" s="28" t="s">
        <v>22</v>
      </c>
      <c r="BP6" s="28" t="s">
        <v>21</v>
      </c>
      <c r="BQ6" s="28" t="s">
        <v>24</v>
      </c>
      <c r="BR6" s="28" t="s">
        <v>3</v>
      </c>
      <c r="BS6" s="28" t="s">
        <v>39</v>
      </c>
      <c r="BT6" s="28" t="s">
        <v>40</v>
      </c>
      <c r="BU6" s="28" t="s">
        <v>41</v>
      </c>
    </row>
    <row r="7" spans="2:83" x14ac:dyDescent="0.3">
      <c r="C7" t="s">
        <v>16</v>
      </c>
      <c r="D7" s="7">
        <f>IFERROR(DATE(dashboard!S11,dashboard!S12,dashboard!S13),$D$5)</f>
        <v>41334</v>
      </c>
      <c r="E7" s="7"/>
      <c r="F7" s="7" t="s">
        <v>75</v>
      </c>
      <c r="H7" s="13">
        <f>SUMIFS(TableTrend[positive],TableTrend[review_time],"&gt;="&amp;$D$7, TableTrend[review_time],"&lt;="&amp;$D$8)/SUMIFS(TableTrend[total],TableTrend[review_time],"&gt;="&amp;$D$7, TableTrend[review_time],"&lt;="&amp;$D$8)</f>
        <v>0.5957446808510638</v>
      </c>
      <c r="J7" t="s">
        <v>12</v>
      </c>
      <c r="K7" s="7" t="s">
        <v>0</v>
      </c>
      <c r="L7" t="s">
        <v>13</v>
      </c>
      <c r="M7" t="s">
        <v>14</v>
      </c>
      <c r="N7" t="s">
        <v>15</v>
      </c>
      <c r="X7" s="12" t="s">
        <v>2</v>
      </c>
      <c r="Y7" s="10" t="s">
        <v>20</v>
      </c>
      <c r="Z7" s="18"/>
      <c r="AA7" s="10" t="s">
        <v>20</v>
      </c>
      <c r="AB7" s="10" t="s">
        <v>23</v>
      </c>
      <c r="AC7" s="10" t="s">
        <v>22</v>
      </c>
      <c r="AD7" s="10" t="s">
        <v>21</v>
      </c>
      <c r="AE7" s="11" t="s">
        <v>24</v>
      </c>
      <c r="AF7" s="16" t="s">
        <v>46</v>
      </c>
      <c r="AG7" s="19"/>
      <c r="AH7" s="16" t="s">
        <v>47</v>
      </c>
      <c r="AI7" s="16" t="s">
        <v>20</v>
      </c>
      <c r="AJ7" s="16" t="s">
        <v>23</v>
      </c>
      <c r="AK7" s="16" t="s">
        <v>22</v>
      </c>
      <c r="AL7" s="16" t="s">
        <v>21</v>
      </c>
      <c r="AM7" s="16" t="s">
        <v>24</v>
      </c>
      <c r="AN7" s="19"/>
      <c r="AQ7" s="35" t="s">
        <v>20</v>
      </c>
      <c r="AR7" s="35" t="s">
        <v>23</v>
      </c>
      <c r="AS7" s="35" t="s">
        <v>22</v>
      </c>
      <c r="AT7" s="35" t="s">
        <v>21</v>
      </c>
      <c r="AU7" s="35" t="s">
        <v>24</v>
      </c>
      <c r="AW7" t="s">
        <v>11</v>
      </c>
      <c r="AX7" t="s">
        <v>23</v>
      </c>
      <c r="AY7" t="s">
        <v>22</v>
      </c>
      <c r="AZ7" t="s">
        <v>21</v>
      </c>
      <c r="BA7" t="s">
        <v>24</v>
      </c>
      <c r="BC7" t="s">
        <v>38</v>
      </c>
      <c r="BD7" t="s">
        <v>39</v>
      </c>
      <c r="BE7" t="s">
        <v>40</v>
      </c>
      <c r="BF7" t="s">
        <v>41</v>
      </c>
      <c r="BI7" s="22">
        <v>41627</v>
      </c>
      <c r="BK7" t="s">
        <v>52</v>
      </c>
      <c r="BL7" s="28">
        <v>1</v>
      </c>
      <c r="BM7" s="29">
        <f>DATE(YEAR($D$8),MONTH($D$8),BL7)</f>
        <v>43466</v>
      </c>
      <c r="BN7" s="28" cm="1">
        <f t="array" ref="BN7">IF(MONTH($D$8)=MONTH(BM7),SUMIFS(TableTrend[positive],TableTrend[review_time],"="&amp;$BM7,TableTrend[topic],"="&amp;INDEX($C$22:$C$28,$D$3)),NA())</f>
        <v>0</v>
      </c>
      <c r="BO7" s="28" cm="1">
        <f t="array" ref="BO7">IF(MONTH($D$8)=MONTH(BM7),SUMIFS(TableTrend[neutral],TableTrend[review_time],"="&amp;$BM7,TableTrend[topic],"="&amp;INDEX($C$22:$C$28,$D$3)),NA())</f>
        <v>0</v>
      </c>
      <c r="BP7" s="28" cm="1">
        <f t="array" ref="BP7">IF(MONTH($D$8)=MONTH(BM7),SUMIFS(TableTrend[negative],TableTrend[review_time],"="&amp;$BM7,TableTrend[topic],"="&amp;INDEX($C$22:$C$28,$D$3)),NA())</f>
        <v>0</v>
      </c>
      <c r="BQ7" s="28" cm="1">
        <f t="array" ref="BQ7">IF(MONTH($D$8)=MONTH(BM7),SUMIFS(TableTrend[total],TableTrend[review_time],"="&amp;$BM7,TableTrend[topic],"="&amp;INDEX($C$22:$C$28,$D$3)),NA())</f>
        <v>0</v>
      </c>
      <c r="BR7" s="28" cm="1">
        <f t="array" ref="BR7">IF($BK$14,IF(MONTH($D$8)=MONTH(BM7),IFERROR(SUMIFS(TableTrend[rating_sum],TableTrend[review_time],"="&amp;$BM7,TableTrend[topic],"="&amp;INDEX($C$22:$C$28,$D$3)) / SUMIFS(TableTrend[rating_count],TableTrend[review_time],"="&amp;$BM7,TableTrend[topic],"="&amp;INDEX($C$22:$C$28,$D$3)),0),NA()),NA())</f>
        <v>0</v>
      </c>
      <c r="BS7" s="30" t="str">
        <f>_xlfn.IFNA(IF($BN7=0,"",$BN7/$BQ7),"")</f>
        <v/>
      </c>
      <c r="BT7" s="30" t="str">
        <f>_xlfn.IFNA(IF($BO7=0,"",$BO7/$BQ7),"")</f>
        <v/>
      </c>
      <c r="BU7" s="30" t="str">
        <f>_xlfn.IFNA(IF($BP7=0,"",$BP7/$BQ7),"")</f>
        <v/>
      </c>
      <c r="BV7" s="23"/>
      <c r="BW7" s="23"/>
      <c r="BX7" s="23"/>
      <c r="BY7" s="23"/>
      <c r="BZ7" s="23"/>
      <c r="CE7" s="23"/>
    </row>
    <row r="8" spans="2:83" x14ac:dyDescent="0.3">
      <c r="C8" t="s">
        <v>17</v>
      </c>
      <c r="D8" s="7">
        <f>IFERROR(DATE(dashboard!T11,dashboard!T12,dashboard!T13),$D$6)</f>
        <v>43496</v>
      </c>
      <c r="F8" t="s">
        <v>76</v>
      </c>
      <c r="H8" s="13">
        <f>SUMIFS(TableTrend[negative],TableTrend[review_time],"&gt;="&amp;$D$7, TableTrend[review_time],"&lt;="&amp;$D$8)/SUMIFS(TableTrend[total],TableTrend[review_time],"&gt;="&amp;$D$7, TableTrend[review_time],"&lt;="&amp;$D$8)</f>
        <v>0.32978723404255317</v>
      </c>
      <c r="J8" t="e" cm="1" vm="1">
        <f t="array" ref="J8">CHOOSE($D$3,FetchingFood,FetchingCondiment,FetchingPackage,FetchingPricing,FetchingExperience,FetchingService,FetchingMiscellaneous)</f>
        <v>#VALUE!</v>
      </c>
      <c r="K8" s="7"/>
      <c r="X8" s="7" cm="1">
        <f t="array" ref="X8:Y24">_xlfn._xlws.FILTER(TableAspect[[review_time]:[aspect]],(TableAspect[review_time]&gt;=D7)*(TableAspect[review_time]&lt;=D8)*(TableAspect[topic]=INDEX($C$22:$C$28,$D$3,)))</f>
        <v>41627</v>
      </c>
      <c r="Y8" s="9" t="str">
        <v>battery</v>
      </c>
      <c r="Z8" s="9"/>
      <c r="AA8" s="9" t="str" cm="1">
        <f t="array" ref="AA8:AA23">IF(_xlfn.UNIQUE(Y8:Y1048505)=0,"",_xlfn.UNIQUE(Y8:Y1048505))</f>
        <v>battery</v>
      </c>
      <c r="AB8" s="8">
        <f>SUMIFS(TableAspect[positive],TableAspect[aspect],"="&amp;AA8,TableAspect[review_time],"&gt;="&amp;$D$7,TableAspect[review_time],"&lt;="&amp;$D$8)</f>
        <v>0</v>
      </c>
      <c r="AC8" s="8">
        <f>SUMIFS(TableAspect[neutral],TableAspect[aspect],"="&amp;AA8,TableAspect[review_time],"&gt;="&amp;$D$7,TableAspect[review_time],"&lt;="&amp;$D$8)</f>
        <v>0</v>
      </c>
      <c r="AD8" s="8">
        <f>SUMIFS(TableAspect[negative],TableAspect[aspect],"="&amp;AA8,TableAspect[review_time],"&gt;="&amp;$D$7,TableAspect[review_time],"&lt;="&amp;$D$8)</f>
        <v>2</v>
      </c>
      <c r="AE8">
        <f>SUMIFS(TableAspect[total],TableAspect[aspect],"="&amp;AA8,TableAspect[review_time],"&gt;="&amp;$D$7,TableAspect[review_time],"&lt;="&amp;$D$8)</f>
        <v>2</v>
      </c>
      <c r="AF8">
        <f>AE8+(COUNTIFS($AE$8:AE8,AE8) - 1) * 0.000000001</f>
        <v>2</v>
      </c>
      <c r="AH8">
        <f>LARGE($AF$8:$AF$1048505,ROW()-ROW($AH$7))</f>
        <v>2.0000000010000001</v>
      </c>
      <c r="AI8" t="str">
        <f>INDEX($AA$8:$AA$1048505,MATCH(AH8,$AF$8:$AF$1048505,0))</f>
        <v>sim card</v>
      </c>
      <c r="AJ8">
        <f>INDEX($AB$8:$AB$1048505,MATCH(AH8,$AF$8:$AF$1048505,0))</f>
        <v>2</v>
      </c>
      <c r="AK8">
        <f>INDEX($AC$8:$AC$1048505,MATCH(AH8,$AF$8:$AF$1048505,0))</f>
        <v>0</v>
      </c>
      <c r="AL8">
        <f>INDEX($AD$8:$AD$1048505,MATCH(AH8,$AF$8:$AF$1048505,0))</f>
        <v>0</v>
      </c>
      <c r="AM8">
        <f>INDEX($AE$8:$AE$1048505,MATCH(AH8,$AF$8:$AF$1048505,0))</f>
        <v>2</v>
      </c>
      <c r="AN8" s="17" t="s">
        <v>31</v>
      </c>
      <c r="AO8" s="17"/>
      <c r="AQ8" s="36" t="str" cm="1">
        <f t="array" ref="AQ8">IFERROR(IF(INDEX(AI8:$AI$1048505,$D$4,)=0,"",INDEX(AI8:$AI$1048505,$D$4,)),"")</f>
        <v>sim card</v>
      </c>
      <c r="AR8" s="37" cm="1">
        <f t="array" ref="AR8">IFERROR(IF(INDEX(AJ8:$AJ$1048505,$D$4,)=0,"",INDEX(AJ8:$AJ$1048505,$D$4,)),"")</f>
        <v>2</v>
      </c>
      <c r="AS8" s="37" t="str" cm="1">
        <f t="array" ref="AS8">IFERROR(IF(INDEX(AK8:$AK$1048505,$D$4,)=0,"",INDEX(AK8:$AK$1048505,$D$4,)),"")</f>
        <v/>
      </c>
      <c r="AT8" s="37" t="str" cm="1">
        <f t="array" ref="AT8">IFERROR(IF(INDEX(AL8:$AL$1048505,$D$4,)=0,"",INDEX(AL8:$AL$1048505,$D$4,)),"")</f>
        <v/>
      </c>
      <c r="AU8" s="37" cm="1">
        <f t="array" ref="AU8">IFERROR(IF(INDEX(AM8:$AM$1048505,$D$4,)=0,"",INDEX(AM8:$AM$1048505,$D$4,)),"")</f>
        <v>2</v>
      </c>
      <c r="AW8" t="str">
        <f t="shared" ref="AW8:AW14" si="0">C22</f>
        <v>Customer Service and Experience</v>
      </c>
      <c r="AX8">
        <f>SUMIFS(TableAspect[positive],TableAspect[topic],"="&amp;$AW8,TableAspect[review_time],"&gt;="&amp;$D$7,TableAspect[review_time],"&lt;="&amp;$D$8)</f>
        <v>1</v>
      </c>
      <c r="AY8">
        <f>SUMIFS(TableAspect[neutral],TableAspect[topic],"="&amp;$AW8,TableAspect[review_time],"&gt;="&amp;$D$7,TableAspect[review_time],"&lt;="&amp;$D$8)</f>
        <v>1</v>
      </c>
      <c r="AZ8">
        <f>SUMIFS(TableAspect[negative],TableAspect[topic],"="&amp;$AW8,TableAspect[review_time],"&gt;="&amp;$D$7,TableAspect[review_time],"&lt;="&amp;$D$8)</f>
        <v>2</v>
      </c>
      <c r="BA8">
        <f>IF(SUMIFS(TableAspect[total],TableAspect[topic],"="&amp;$AW8,TableAspect[review_time],"&gt;="&amp;$D$7,TableAspect[review_time],"&lt;="&amp;$D$8)&lt;&gt;0,SUMIFS(TableAspect[total],TableAspect[topic],"="&amp;$AW8,TableAspect[review_time],"&gt;="&amp;$D$7,TableAspect[review_time],"&lt;="&amp;$D$8),"")</f>
        <v>4</v>
      </c>
      <c r="BC8">
        <v>0.25</v>
      </c>
      <c r="BD8" s="13">
        <f>IFERROR(IF(AX8/$BA$8&gt;0.05,AX8/$BA$8,""),"")</f>
        <v>0.25</v>
      </c>
      <c r="BE8" s="13">
        <f>IFERROR(IF(AY8/$BA$8&gt;0.05,AY8/$BA$8,""),"")</f>
        <v>0.25</v>
      </c>
      <c r="BF8" s="13">
        <f>IFERROR(IF(AZ8/$BA$8&gt;0.05,AZ8/$BA$8,""),"")</f>
        <v>0.5</v>
      </c>
      <c r="BI8" s="22">
        <v>41847</v>
      </c>
      <c r="BL8" s="28">
        <v>2</v>
      </c>
      <c r="BM8" s="29">
        <f t="shared" ref="BM7:BM35" si="1">DATE(YEAR($D$8),MONTH($D$8),BL8)</f>
        <v>43467</v>
      </c>
      <c r="BN8" s="28" cm="1">
        <f t="array" ref="BN8">IF(MONTH($D$8)=MONTH(BM8),SUMIFS(TableTrend[positive],TableTrend[review_time],"="&amp;$BM8,TableTrend[topic],"="&amp;INDEX($C$22:$C$28,$D$3)),NA())</f>
        <v>0</v>
      </c>
      <c r="BO8" s="28" cm="1">
        <f t="array" ref="BO8">IF(MONTH($D$8)=MONTH(BM8),SUMIFS(TableTrend[neutral],TableTrend[review_time],"="&amp;$BM8,TableTrend[topic],"="&amp;INDEX($C$22:$C$28,$D$3)),NA())</f>
        <v>0</v>
      </c>
      <c r="BP8" s="28" cm="1">
        <f t="array" ref="BP8">IF(MONTH($D$8)=MONTH(BM8),SUMIFS(TableTrend[negative],TableTrend[review_time],"="&amp;$BM8,TableTrend[topic],"="&amp;INDEX($C$22:$C$28,$D$3)),NA())</f>
        <v>0</v>
      </c>
      <c r="BQ8" s="28" cm="1">
        <f t="array" ref="BQ8">IF(MONTH($D$8)=MONTH(BM8),SUMIFS(TableTrend[total],TableTrend[review_time],"="&amp;$BM8,TableTrend[topic],"="&amp;INDEX($C$22:$C$28,$D$3)),NA())</f>
        <v>0</v>
      </c>
      <c r="BR8" s="28" cm="1">
        <f t="array" ref="BR8">IF($BK$14,IF(MONTH($D$8)=MONTH(BM8),IFERROR(SUMIFS(TableTrend[rating_sum],TableTrend[review_time],"="&amp;$BM8,TableTrend[topic],"="&amp;INDEX($C$22:$C$28,$D$3)) / SUMIFS(TableTrend[rating_count],TableTrend[review_time],"="&amp;$BM8,TableTrend[topic],"="&amp;INDEX($C$22:$C$28,$D$3)),0),NA()),NA())</f>
        <v>0</v>
      </c>
      <c r="BS8" s="30" t="str">
        <f t="shared" ref="BS8:BS37" si="2">_xlfn.IFNA(IF($BN8=0,"",$BN8/$BQ8),"")</f>
        <v/>
      </c>
      <c r="BT8" s="30" t="str">
        <f t="shared" ref="BT8:BT37" si="3">_xlfn.IFNA(IF($BO8=0,"",$BO8/$BQ8),"")</f>
        <v/>
      </c>
      <c r="BU8" s="30" t="str">
        <f t="shared" ref="BU8:BU37" si="4">_xlfn.IFNA(IF($BP8=0,"",$BP8/$BQ8),"")</f>
        <v/>
      </c>
      <c r="BV8" s="23"/>
      <c r="BW8" s="23"/>
      <c r="BX8" s="23"/>
      <c r="BY8" s="23"/>
      <c r="BZ8" s="23"/>
      <c r="CE8" s="23"/>
    </row>
    <row r="9" spans="2:83" x14ac:dyDescent="0.3">
      <c r="K9" s="7"/>
      <c r="X9" s="9">
        <v>41903</v>
      </c>
      <c r="Y9" s="9" t="str">
        <v>quality</v>
      </c>
      <c r="Z9" s="9"/>
      <c r="AA9" s="9" t="str">
        <v>quality</v>
      </c>
      <c r="AB9" s="8">
        <f>SUMIFS(TableAspect[positive],TableAspect[aspect],"="&amp;AA9,TableAspect[review_time],"&gt;="&amp;$D$7,TableAspect[review_time],"&lt;="&amp;$D$8)</f>
        <v>0</v>
      </c>
      <c r="AC9" s="8">
        <f>SUMIFS(TableAspect[neutral],TableAspect[aspect],"="&amp;AA9,TableAspect[review_time],"&gt;="&amp;$D$7,TableAspect[review_time],"&lt;="&amp;$D$8)</f>
        <v>0</v>
      </c>
      <c r="AD9" s="8">
        <f>SUMIFS(TableAspect[negative],TableAspect[aspect],"="&amp;AA9,TableAspect[review_time],"&gt;="&amp;$D$7,TableAspect[review_time],"&lt;="&amp;$D$8)</f>
        <v>1</v>
      </c>
      <c r="AE9">
        <f>SUMIFS(TableAspect[total],TableAspect[aspect],"="&amp;AA9,TableAspect[review_time],"&gt;="&amp;$D$7,TableAspect[review_time],"&lt;="&amp;$D$8)</f>
        <v>1</v>
      </c>
      <c r="AF9">
        <f>AE9+(COUNTIFS($AE$8:AE9,AE9) - 1) * 0.000000001</f>
        <v>1</v>
      </c>
      <c r="AH9">
        <f t="shared" ref="AH9:AH72" si="5">LARGE($AF$8:$AF$1048505,ROW()-ROW($AH$7))</f>
        <v>2</v>
      </c>
      <c r="AI9" t="str">
        <f t="shared" ref="AI9:AI72" si="6">INDEX($AA$8:$AA$1048505,MATCH(AH9,$AF$8:$AF$1048505,0))</f>
        <v>battery</v>
      </c>
      <c r="AJ9">
        <f t="shared" ref="AJ9:AJ72" si="7">INDEX($AB$8:$AB$1048505,MATCH(AH9,$AF$8:$AF$1048505,0))</f>
        <v>0</v>
      </c>
      <c r="AK9">
        <f t="shared" ref="AK9:AK72" si="8">INDEX($AC$8:$AC$1048505,MATCH(AH9,$AF$8:$AF$1048505,0))</f>
        <v>0</v>
      </c>
      <c r="AL9">
        <f t="shared" ref="AL9:AL72" si="9">INDEX($AD$8:$AD$1048505,MATCH(AH9,$AF$8:$AF$1048505,0))</f>
        <v>2</v>
      </c>
      <c r="AM9">
        <f t="shared" ref="AM9:AM72" si="10">INDEX($AE$8:$AE$1048505,MATCH(AH9,$AF$8:$AF$1048505,0))</f>
        <v>2</v>
      </c>
      <c r="AN9" s="17" t="s">
        <v>32</v>
      </c>
      <c r="AO9" s="17">
        <f>AM8 + 3</f>
        <v>5</v>
      </c>
      <c r="AQ9" s="36" t="str" cm="1">
        <f t="array" ref="AQ9">IFERROR(IF(INDEX(AI9:$AI$1048505,$D$4,)=0,"",INDEX(AI9:$AI$1048505,$D$4,)),"")</f>
        <v>battery</v>
      </c>
      <c r="AR9" s="37" t="str" cm="1">
        <f t="array" ref="AR9">IFERROR(IF(INDEX(AJ9:$AJ$1048505,$D$4,)=0,"",INDEX(AJ9:$AJ$1048505,$D$4,)),"")</f>
        <v/>
      </c>
      <c r="AS9" s="37" t="str" cm="1">
        <f t="array" ref="AS9">IFERROR(IF(INDEX(AK9:$AK$1048505,$D$4,)=0,"",INDEX(AK9:$AK$1048505,$D$4,)),"")</f>
        <v/>
      </c>
      <c r="AT9" s="37" cm="1">
        <f t="array" ref="AT9">IFERROR(IF(INDEX(AL9:$AL$1048505,$D$4,)=0,"",INDEX(AL9:$AL$1048505,$D$4,)),"")</f>
        <v>2</v>
      </c>
      <c r="AU9" s="37" cm="1">
        <f t="array" ref="AU9">IFERROR(IF(INDEX(AM9:$AM$1048505,$D$4,)=0,"",INDEX(AM9:$AM$1048505,$D$4,)),"")</f>
        <v>2</v>
      </c>
      <c r="AW9" t="str">
        <f t="shared" si="0"/>
        <v>Brand and Model Specifics</v>
      </c>
      <c r="AX9">
        <f>SUMIFS(TableAspect[positive],TableAspect[topic],"="&amp;$AW9,TableAspect[review_time],"&gt;="&amp;$D$7,TableAspect[review_time],"&lt;="&amp;$D$8)</f>
        <v>4</v>
      </c>
      <c r="AY9">
        <f>SUMIFS(TableAspect[neutral],TableAspect[topic],"="&amp;$AW9,TableAspect[review_time],"&gt;="&amp;$D$7,TableAspect[review_time],"&lt;="&amp;$D$8)</f>
        <v>1</v>
      </c>
      <c r="AZ9">
        <f>SUMIFS(TableAspect[negative],TableAspect[topic],"="&amp;$AW9,TableAspect[review_time],"&gt;="&amp;$D$7,TableAspect[review_time],"&lt;="&amp;$D$8)</f>
        <v>2</v>
      </c>
      <c r="BA9">
        <f>IF(SUMIFS(TableAspect[total],TableAspect[topic],"="&amp;$AW9,TableAspect[review_time],"&gt;="&amp;$D$7,TableAspect[review_time],"&lt;="&amp;$D$8)&lt;&gt;0,SUMIFS(TableAspect[total],TableAspect[topic],"="&amp;$AW9,TableAspect[review_time],"&gt;="&amp;$D$7,TableAspect[review_time],"&lt;="&amp;$D$8),"")</f>
        <v>7</v>
      </c>
      <c r="BC9">
        <v>0.25</v>
      </c>
      <c r="BD9" s="13">
        <f t="shared" ref="BD9:BD14" si="11">IFERROR(IF(AX9/$BA$8&gt;0.05,AX9/$BA$8,""),"")</f>
        <v>1</v>
      </c>
      <c r="BE9" s="13">
        <f t="shared" ref="BE9:BE14" si="12">IFERROR(IF(AY9/$BA$8&gt;0.05,AY9/$BA$8,""),"")</f>
        <v>0.25</v>
      </c>
      <c r="BF9" s="13">
        <f t="shared" ref="BF9:BF14" si="13">IFERROR(IF(AZ9/$BA$8&gt;0.05,AZ9/$BA$8,""),"")</f>
        <v>0.5</v>
      </c>
      <c r="BI9" s="22">
        <v>41903</v>
      </c>
      <c r="BL9" s="28">
        <v>3</v>
      </c>
      <c r="BM9" s="29">
        <f t="shared" si="1"/>
        <v>43468</v>
      </c>
      <c r="BN9" s="28" cm="1">
        <f t="array" ref="BN9">IF(MONTH($D$8)=MONTH(BM9),SUMIFS(TableTrend[positive],TableTrend[review_time],"="&amp;$BM9,TableTrend[topic],"="&amp;INDEX($C$22:$C$28,$D$3)),NA())</f>
        <v>0</v>
      </c>
      <c r="BO9" s="28" cm="1">
        <f t="array" ref="BO9">IF(MONTH($D$8)=MONTH(BM9),SUMIFS(TableTrend[neutral],TableTrend[review_time],"="&amp;$BM9,TableTrend[topic],"="&amp;INDEX($C$22:$C$28,$D$3)),NA())</f>
        <v>0</v>
      </c>
      <c r="BP9" s="28" cm="1">
        <f t="array" ref="BP9">IF(MONTH($D$8)=MONTH(BM9),SUMIFS(TableTrend[negative],TableTrend[review_time],"="&amp;$BM9,TableTrend[topic],"="&amp;INDEX($C$22:$C$28,$D$3)),NA())</f>
        <v>0</v>
      </c>
      <c r="BQ9" s="28" cm="1">
        <f t="array" ref="BQ9">IF(MONTH($D$8)=MONTH(BM9),SUMIFS(TableTrend[total],TableTrend[review_time],"="&amp;$BM9,TableTrend[topic],"="&amp;INDEX($C$22:$C$28,$D$3)),NA())</f>
        <v>0</v>
      </c>
      <c r="BR9" s="28" cm="1">
        <f t="array" ref="BR9">IF($BK$14,IF(MONTH($D$8)=MONTH(BM9),IFERROR(SUMIFS(TableTrend[rating_sum],TableTrend[review_time],"="&amp;$BM9,TableTrend[topic],"="&amp;INDEX($C$22:$C$28,$D$3)) / SUMIFS(TableTrend[rating_count],TableTrend[review_time],"="&amp;$BM9,TableTrend[topic],"="&amp;INDEX($C$22:$C$28,$D$3)),0),NA()),NA())</f>
        <v>0</v>
      </c>
      <c r="BS9" s="30" t="str">
        <f t="shared" si="2"/>
        <v/>
      </c>
      <c r="BT9" s="30" t="str">
        <f t="shared" si="3"/>
        <v/>
      </c>
      <c r="BU9" s="30" t="str">
        <f t="shared" si="4"/>
        <v/>
      </c>
      <c r="BV9" s="23"/>
      <c r="BW9" s="23"/>
      <c r="BX9" s="23"/>
      <c r="BY9" s="23"/>
      <c r="BZ9" s="23"/>
    </row>
    <row r="10" spans="2:83" x14ac:dyDescent="0.3">
      <c r="C10" t="s">
        <v>55</v>
      </c>
      <c r="D10">
        <v>2</v>
      </c>
      <c r="K10" s="7"/>
      <c r="X10" s="9">
        <v>42603</v>
      </c>
      <c r="Y10" s="9" t="str">
        <v>camera</v>
      </c>
      <c r="Z10" s="9"/>
      <c r="AA10" s="9" t="str">
        <v>camera</v>
      </c>
      <c r="AB10" s="8">
        <f>SUMIFS(TableAspect[positive],TableAspect[aspect],"="&amp;AA10,TableAspect[review_time],"&gt;="&amp;$D$7,TableAspect[review_time],"&lt;="&amp;$D$8)</f>
        <v>1</v>
      </c>
      <c r="AC10" s="8">
        <f>SUMIFS(TableAspect[neutral],TableAspect[aspect],"="&amp;AA10,TableAspect[review_time],"&gt;="&amp;$D$7,TableAspect[review_time],"&lt;="&amp;$D$8)</f>
        <v>0</v>
      </c>
      <c r="AD10" s="8">
        <f>SUMIFS(TableAspect[negative],TableAspect[aspect],"="&amp;AA10,TableAspect[review_time],"&gt;="&amp;$D$7,TableAspect[review_time],"&lt;="&amp;$D$8)</f>
        <v>0</v>
      </c>
      <c r="AE10">
        <f>SUMIFS(TableAspect[total],TableAspect[aspect],"="&amp;AA10,TableAspect[review_time],"&gt;="&amp;$D$7,TableAspect[review_time],"&lt;="&amp;$D$8)</f>
        <v>1</v>
      </c>
      <c r="AF10">
        <f>AE10+(COUNTIFS($AE$8:AE10,AE10) - 1) * 0.000000001</f>
        <v>1.0000000010000001</v>
      </c>
      <c r="AH10">
        <f t="shared" si="5"/>
        <v>1.0000000090000001</v>
      </c>
      <c r="AI10" t="str">
        <f t="shared" si="6"/>
        <v>glass</v>
      </c>
      <c r="AJ10">
        <f t="shared" si="7"/>
        <v>0</v>
      </c>
      <c r="AK10">
        <f t="shared" si="8"/>
        <v>0</v>
      </c>
      <c r="AL10">
        <f t="shared" si="9"/>
        <v>1</v>
      </c>
      <c r="AM10">
        <f t="shared" si="10"/>
        <v>1</v>
      </c>
      <c r="AN10" s="17" t="s">
        <v>33</v>
      </c>
      <c r="AO10" s="17">
        <v>0</v>
      </c>
      <c r="AQ10" s="36" t="str" cm="1">
        <f t="array" ref="AQ10">IFERROR(IF(INDEX(AI10:$AI$1048505,$D$4,)=0,"",INDEX(AI10:$AI$1048505,$D$4,)),"")</f>
        <v>glass</v>
      </c>
      <c r="AR10" s="37" t="str" cm="1">
        <f t="array" ref="AR10">IFERROR(IF(INDEX(AJ10:$AJ$1048505,$D$4,)=0,"",INDEX(AJ10:$AJ$1048505,$D$4,)),"")</f>
        <v/>
      </c>
      <c r="AS10" s="37" t="str" cm="1">
        <f t="array" ref="AS10">IFERROR(IF(INDEX(AK10:$AK$1048505,$D$4,)=0,"",INDEX(AK10:$AK$1048505,$D$4,)),"")</f>
        <v/>
      </c>
      <c r="AT10" s="37" cm="1">
        <f t="array" ref="AT10">IFERROR(IF(INDEX(AL10:$AL$1048505,$D$4,)=0,"",INDEX(AL10:$AL$1048505,$D$4,)),"")</f>
        <v>1</v>
      </c>
      <c r="AU10" s="37" cm="1">
        <f t="array" ref="AU10">IFERROR(IF(INDEX(AM10:$AM$1048505,$D$4,)=0,"",INDEX(AM10:$AM$1048505,$D$4,)),"")</f>
        <v>1</v>
      </c>
      <c r="AW10" t="str">
        <f t="shared" si="0"/>
        <v>Software and Operating Systems</v>
      </c>
      <c r="AX10">
        <f>SUMIFS(TableAspect[positive],TableAspect[topic],"="&amp;$AW10,TableAspect[review_time],"&gt;="&amp;$D$7,TableAspect[review_time],"&lt;="&amp;$D$8)</f>
        <v>7</v>
      </c>
      <c r="AY10">
        <f>SUMIFS(TableAspect[neutral],TableAspect[topic],"="&amp;$AW10,TableAspect[review_time],"&gt;="&amp;$D$7,TableAspect[review_time],"&lt;="&amp;$D$8)</f>
        <v>3</v>
      </c>
      <c r="AZ10">
        <f>SUMIFS(TableAspect[negative],TableAspect[topic],"="&amp;$AW10,TableAspect[review_time],"&gt;="&amp;$D$7,TableAspect[review_time],"&lt;="&amp;$D$8)</f>
        <v>1</v>
      </c>
      <c r="BA10">
        <f>IF(SUMIFS(TableAspect[total],TableAspect[topic],"="&amp;$AW10,TableAspect[review_time],"&gt;="&amp;$D$7,TableAspect[review_time],"&lt;="&amp;$D$8)&lt;&gt;0,SUMIFS(TableAspect[total],TableAspect[topic],"="&amp;$AW10,TableAspect[review_time],"&gt;="&amp;$D$7,TableAspect[review_time],"&lt;="&amp;$D$8),"")</f>
        <v>11</v>
      </c>
      <c r="BC10">
        <v>0.25</v>
      </c>
      <c r="BD10" s="13">
        <f t="shared" si="11"/>
        <v>1.75</v>
      </c>
      <c r="BE10" s="13">
        <f t="shared" si="12"/>
        <v>0.75</v>
      </c>
      <c r="BF10" s="13">
        <f t="shared" si="13"/>
        <v>0.25</v>
      </c>
      <c r="BI10" s="22">
        <v>41915</v>
      </c>
      <c r="BL10" s="28">
        <v>4</v>
      </c>
      <c r="BM10" s="29">
        <f t="shared" si="1"/>
        <v>43469</v>
      </c>
      <c r="BN10" s="28" cm="1">
        <f t="array" ref="BN10">IF(MONTH($D$8)=MONTH(BM10),SUMIFS(TableTrend[positive],TableTrend[review_time],"="&amp;$BM10,TableTrend[topic],"="&amp;INDEX($C$22:$C$28,$D$3)),NA())</f>
        <v>0</v>
      </c>
      <c r="BO10" s="28" cm="1">
        <f t="array" ref="BO10">IF(MONTH($D$8)=MONTH(BM10),SUMIFS(TableTrend[neutral],TableTrend[review_time],"="&amp;$BM10,TableTrend[topic],"="&amp;INDEX($C$22:$C$28,$D$3)),NA())</f>
        <v>0</v>
      </c>
      <c r="BP10" s="28" cm="1">
        <f t="array" ref="BP10">IF(MONTH($D$8)=MONTH(BM10),SUMIFS(TableTrend[negative],TableTrend[review_time],"="&amp;$BM10,TableTrend[topic],"="&amp;INDEX($C$22:$C$28,$D$3)),NA())</f>
        <v>0</v>
      </c>
      <c r="BQ10" s="28" cm="1">
        <f t="array" ref="BQ10">IF(MONTH($D$8)=MONTH(BM10),SUMIFS(TableTrend[total],TableTrend[review_time],"="&amp;$BM10,TableTrend[topic],"="&amp;INDEX($C$22:$C$28,$D$3)),NA())</f>
        <v>0</v>
      </c>
      <c r="BR10" s="28" cm="1">
        <f t="array" ref="BR10">IF($BK$14,IF(MONTH($D$8)=MONTH(BM10),IFERROR(SUMIFS(TableTrend[rating_sum],TableTrend[review_time],"="&amp;$BM10,TableTrend[topic],"="&amp;INDEX($C$22:$C$28,$D$3)) / SUMIFS(TableTrend[rating_count],TableTrend[review_time],"="&amp;$BM10,TableTrend[topic],"="&amp;INDEX($C$22:$C$28,$D$3)),0),NA()),NA())</f>
        <v>0</v>
      </c>
      <c r="BS10" s="30" t="str">
        <f t="shared" si="2"/>
        <v/>
      </c>
      <c r="BT10" s="30" t="str">
        <f t="shared" si="3"/>
        <v/>
      </c>
      <c r="BU10" s="30" t="str">
        <f t="shared" si="4"/>
        <v/>
      </c>
      <c r="BV10" s="23"/>
      <c r="BW10" s="23"/>
      <c r="BX10" s="23"/>
      <c r="BY10" s="23"/>
      <c r="BZ10" s="23"/>
    </row>
    <row r="11" spans="2:83" x14ac:dyDescent="0.3">
      <c r="C11" t="s">
        <v>59</v>
      </c>
      <c r="D11">
        <v>1</v>
      </c>
      <c r="K11" s="7"/>
      <c r="X11" s="9">
        <v>42649</v>
      </c>
      <c r="Y11" s="9" t="str">
        <v>mobile sim card</v>
      </c>
      <c r="Z11" s="9"/>
      <c r="AA11" s="9" t="str">
        <v>mobile sim card</v>
      </c>
      <c r="AB11" s="8">
        <f>SUMIFS(TableAspect[positive],TableAspect[aspect],"="&amp;AA11,TableAspect[review_time],"&gt;="&amp;$D$7,TableAspect[review_time],"&lt;="&amp;$D$8)</f>
        <v>0</v>
      </c>
      <c r="AC11" s="8">
        <f>SUMIFS(TableAspect[neutral],TableAspect[aspect],"="&amp;AA11,TableAspect[review_time],"&gt;="&amp;$D$7,TableAspect[review_time],"&lt;="&amp;$D$8)</f>
        <v>0</v>
      </c>
      <c r="AD11" s="8">
        <f>SUMIFS(TableAspect[negative],TableAspect[aspect],"="&amp;AA11,TableAspect[review_time],"&gt;="&amp;$D$7,TableAspect[review_time],"&lt;="&amp;$D$8)</f>
        <v>1</v>
      </c>
      <c r="AE11">
        <f>SUMIFS(TableAspect[total],TableAspect[aspect],"="&amp;AA11,TableAspect[review_time],"&gt;="&amp;$D$7,TableAspect[review_time],"&lt;="&amp;$D$8)</f>
        <v>1</v>
      </c>
      <c r="AF11">
        <f>AE11+(COUNTIFS($AE$8:AE11,AE11) - 1) * 0.000000001</f>
        <v>1.0000000019999999</v>
      </c>
      <c r="AH11">
        <f t="shared" si="5"/>
        <v>1.000000008</v>
      </c>
      <c r="AI11" t="str">
        <f t="shared" si="6"/>
        <v>front</v>
      </c>
      <c r="AJ11">
        <f t="shared" si="7"/>
        <v>0</v>
      </c>
      <c r="AK11">
        <f t="shared" si="8"/>
        <v>0</v>
      </c>
      <c r="AL11">
        <f t="shared" si="9"/>
        <v>1</v>
      </c>
      <c r="AM11">
        <f t="shared" si="10"/>
        <v>1</v>
      </c>
      <c r="AQ11" s="36" t="str" cm="1">
        <f t="array" ref="AQ11">IFERROR(IF(INDEX(AI11:$AI$1048505,$D$4,)=0,"",INDEX(AI11:$AI$1048505,$D$4,)),"")</f>
        <v>front</v>
      </c>
      <c r="AR11" s="37" t="str" cm="1">
        <f t="array" ref="AR11">IFERROR(IF(INDEX(AJ11:$AJ$1048505,$D$4,)=0,"",INDEX(AJ11:$AJ$1048505,$D$4,)),"")</f>
        <v/>
      </c>
      <c r="AS11" s="37" t="str" cm="1">
        <f t="array" ref="AS11">IFERROR(IF(INDEX(AK11:$AK$1048505,$D$4,)=0,"",INDEX(AK11:$AK$1048505,$D$4,)),"")</f>
        <v/>
      </c>
      <c r="AT11" s="37" cm="1">
        <f t="array" ref="AT11">IFERROR(IF(INDEX(AL11:$AL$1048505,$D$4,)=0,"",INDEX(AL11:$AL$1048505,$D$4,)),"")</f>
        <v>1</v>
      </c>
      <c r="AU11" s="37" cm="1">
        <f t="array" ref="AU11">IFERROR(IF(INDEX(AM11:$AM$1048505,$D$4,)=0,"",INDEX(AM11:$AM$1048505,$D$4,)),"")</f>
        <v>1</v>
      </c>
      <c r="AW11" t="str">
        <f t="shared" si="0"/>
        <v>Connectivity and Network</v>
      </c>
      <c r="AX11">
        <f>SUMIFS(TableAspect[positive],TableAspect[topic],"="&amp;$AW11,TableAspect[review_time],"&gt;="&amp;$D$7,TableAspect[review_time],"&lt;="&amp;$D$8)</f>
        <v>3</v>
      </c>
      <c r="AY11">
        <f>SUMIFS(TableAspect[neutral],TableAspect[topic],"="&amp;$AW11,TableAspect[review_time],"&gt;="&amp;$D$7,TableAspect[review_time],"&lt;="&amp;$D$8)</f>
        <v>0</v>
      </c>
      <c r="AZ11">
        <f>SUMIFS(TableAspect[negative],TableAspect[topic],"="&amp;$AW11,TableAspect[review_time],"&gt;="&amp;$D$7,TableAspect[review_time],"&lt;="&amp;$D$8)</f>
        <v>4</v>
      </c>
      <c r="BA11">
        <f>IF(SUMIFS(TableAspect[total],TableAspect[topic],"="&amp;$AW11,TableAspect[review_time],"&gt;="&amp;$D$7,TableAspect[review_time],"&lt;="&amp;$D$8)&lt;&gt;0,SUMIFS(TableAspect[total],TableAspect[topic],"="&amp;$AW11,TableAspect[review_time],"&gt;="&amp;$D$7,TableAspect[review_time],"&lt;="&amp;$D$8),"")</f>
        <v>7</v>
      </c>
      <c r="BC11">
        <v>0.25</v>
      </c>
      <c r="BD11" s="13">
        <f t="shared" si="11"/>
        <v>0.75</v>
      </c>
      <c r="BE11" s="13" t="str">
        <f t="shared" si="12"/>
        <v/>
      </c>
      <c r="BF11" s="13">
        <f t="shared" si="13"/>
        <v>1</v>
      </c>
      <c r="BI11" s="22">
        <v>42173</v>
      </c>
      <c r="BJ11" s="26" t="s">
        <v>68</v>
      </c>
      <c r="BK11" s="26"/>
      <c r="BL11" s="28">
        <v>5</v>
      </c>
      <c r="BM11" s="29">
        <f t="shared" si="1"/>
        <v>43470</v>
      </c>
      <c r="BN11" s="28" cm="1">
        <f t="array" ref="BN11">IF(MONTH($D$8)=MONTH(BM11),SUMIFS(TableTrend[positive],TableTrend[review_time],"="&amp;$BM11,TableTrend[topic],"="&amp;INDEX($C$22:$C$28,$D$3)),NA())</f>
        <v>0</v>
      </c>
      <c r="BO11" s="28" cm="1">
        <f t="array" ref="BO11">IF(MONTH($D$8)=MONTH(BM11),SUMIFS(TableTrend[neutral],TableTrend[review_time],"="&amp;$BM11,TableTrend[topic],"="&amp;INDEX($C$22:$C$28,$D$3)),NA())</f>
        <v>0</v>
      </c>
      <c r="BP11" s="28" cm="1">
        <f t="array" ref="BP11">IF(MONTH($D$8)=MONTH(BM11),SUMIFS(TableTrend[negative],TableTrend[review_time],"="&amp;$BM11,TableTrend[topic],"="&amp;INDEX($C$22:$C$28,$D$3)),NA())</f>
        <v>0</v>
      </c>
      <c r="BQ11" s="28" cm="1">
        <f t="array" ref="BQ11">IF(MONTH($D$8)=MONTH(BM11),SUMIFS(TableTrend[total],TableTrend[review_time],"="&amp;$BM11,TableTrend[topic],"="&amp;INDEX($C$22:$C$28,$D$3)),NA())</f>
        <v>0</v>
      </c>
      <c r="BR11" s="28" cm="1">
        <f t="array" ref="BR11">IF($BK$14,IF(MONTH($D$8)=MONTH(BM11),IFERROR(SUMIFS(TableTrend[rating_sum],TableTrend[review_time],"="&amp;$BM11,TableTrend[topic],"="&amp;INDEX($C$22:$C$28,$D$3)) / SUMIFS(TableTrend[rating_count],TableTrend[review_time],"="&amp;$BM11,TableTrend[topic],"="&amp;INDEX($C$22:$C$28,$D$3)),0),NA()),NA())</f>
        <v>0</v>
      </c>
      <c r="BS11" s="30" t="str">
        <f t="shared" si="2"/>
        <v/>
      </c>
      <c r="BT11" s="30" t="str">
        <f t="shared" si="3"/>
        <v/>
      </c>
      <c r="BU11" s="30" t="str">
        <f t="shared" si="4"/>
        <v/>
      </c>
      <c r="BV11" s="23"/>
      <c r="BW11" s="23"/>
      <c r="BX11" s="23"/>
      <c r="BY11" s="23"/>
      <c r="BZ11" s="23"/>
    </row>
    <row r="12" spans="2:83" x14ac:dyDescent="0.3">
      <c r="K12" s="7"/>
      <c r="X12" s="9">
        <v>42681</v>
      </c>
      <c r="Y12" s="7" t="str">
        <v>sim card</v>
      </c>
      <c r="Z12" s="9"/>
      <c r="AA12" s="9" t="str">
        <v>sim card</v>
      </c>
      <c r="AB12" s="8">
        <f>SUMIFS(TableAspect[positive],TableAspect[aspect],"="&amp;AA12,TableAspect[review_time],"&gt;="&amp;$D$7,TableAspect[review_time],"&lt;="&amp;$D$8)</f>
        <v>2</v>
      </c>
      <c r="AC12" s="8">
        <f>SUMIFS(TableAspect[neutral],TableAspect[aspect],"="&amp;AA12,TableAspect[review_time],"&gt;="&amp;$D$7,TableAspect[review_time],"&lt;="&amp;$D$8)</f>
        <v>0</v>
      </c>
      <c r="AD12" s="8">
        <f>SUMIFS(TableAspect[negative],TableAspect[aspect],"="&amp;AA12,TableAspect[review_time],"&gt;="&amp;$D$7,TableAspect[review_time],"&lt;="&amp;$D$8)</f>
        <v>0</v>
      </c>
      <c r="AE12">
        <f>SUMIFS(TableAspect[total],TableAspect[aspect],"="&amp;AA12,TableAspect[review_time],"&gt;="&amp;$D$7,TableAspect[review_time],"&lt;="&amp;$D$8)</f>
        <v>2</v>
      </c>
      <c r="AF12">
        <f>AE12+(COUNTIFS($AE$8:AE12,AE12) - 1) * 0.000000001</f>
        <v>2.0000000010000001</v>
      </c>
      <c r="AH12">
        <f t="shared" si="5"/>
        <v>1.0000000069999999</v>
      </c>
      <c r="AI12" t="str">
        <f t="shared" si="6"/>
        <v>finish</v>
      </c>
      <c r="AJ12">
        <f t="shared" si="7"/>
        <v>1</v>
      </c>
      <c r="AK12">
        <f t="shared" si="8"/>
        <v>0</v>
      </c>
      <c r="AL12">
        <f t="shared" si="9"/>
        <v>0</v>
      </c>
      <c r="AM12">
        <f t="shared" si="10"/>
        <v>1</v>
      </c>
      <c r="AQ12" s="36" t="str" cm="1">
        <f t="array" ref="AQ12">IFERROR(IF(INDEX(AI12:$AI$1048505,$D$4,)=0,"",INDEX(AI12:$AI$1048505,$D$4,)),"")</f>
        <v>finish</v>
      </c>
      <c r="AR12" s="37" cm="1">
        <f t="array" ref="AR12">IFERROR(IF(INDEX(AJ12:$AJ$1048505,$D$4,)=0,"",INDEX(AJ12:$AJ$1048505,$D$4,)),"")</f>
        <v>1</v>
      </c>
      <c r="AS12" s="37" t="str" cm="1">
        <f t="array" ref="AS12">IFERROR(IF(INDEX(AK12:$AK$1048505,$D$4,)=0,"",INDEX(AK12:$AK$1048505,$D$4,)),"")</f>
        <v/>
      </c>
      <c r="AT12" s="37" t="str" cm="1">
        <f t="array" ref="AT12">IFERROR(IF(INDEX(AL12:$AL$1048505,$D$4,)=0,"",INDEX(AL12:$AL$1048505,$D$4,)),"")</f>
        <v/>
      </c>
      <c r="AU12" s="37" cm="1">
        <f t="array" ref="AU12">IFERROR(IF(INDEX(AM12:$AM$1048505,$D$4,)=0,"",INDEX(AM12:$AM$1048505,$D$4,)),"")</f>
        <v>1</v>
      </c>
      <c r="AW12" t="str">
        <f t="shared" si="0"/>
        <v>Performance and Speed</v>
      </c>
      <c r="AX12">
        <f>SUMIFS(TableAspect[positive],TableAspect[topic],"="&amp;$AW12,TableAspect[review_time],"&gt;="&amp;$D$7,TableAspect[review_time],"&lt;="&amp;$D$8)</f>
        <v>4</v>
      </c>
      <c r="AY12">
        <f>SUMIFS(TableAspect[neutral],TableAspect[topic],"="&amp;$AW12,TableAspect[review_time],"&gt;="&amp;$D$7,TableAspect[review_time],"&lt;="&amp;$D$8)</f>
        <v>0</v>
      </c>
      <c r="AZ12">
        <f>SUMIFS(TableAspect[negative],TableAspect[topic],"="&amp;$AW12,TableAspect[review_time],"&gt;="&amp;$D$7,TableAspect[review_time],"&lt;="&amp;$D$8)</f>
        <v>0</v>
      </c>
      <c r="BA12">
        <f>IF(SUMIFS(TableAspect[total],TableAspect[topic],"="&amp;$AW12,TableAspect[review_time],"&gt;="&amp;$D$7,TableAspect[review_time],"&lt;="&amp;$D$8)&lt;&gt;0,SUMIFS(TableAspect[total],TableAspect[topic],"="&amp;$AW12,TableAspect[review_time],"&gt;="&amp;$D$7,TableAspect[review_time],"&lt;="&amp;$D$8),"")</f>
        <v>4</v>
      </c>
      <c r="BC12">
        <v>0.25</v>
      </c>
      <c r="BD12" s="13">
        <f t="shared" si="11"/>
        <v>1</v>
      </c>
      <c r="BE12" s="13" t="str">
        <f t="shared" si="12"/>
        <v/>
      </c>
      <c r="BF12" s="13" t="str">
        <f t="shared" si="13"/>
        <v/>
      </c>
      <c r="BI12" s="22">
        <v>42310</v>
      </c>
      <c r="BJ12" s="17" t="s">
        <v>61</v>
      </c>
      <c r="BK12" s="17">
        <f>COUNTIFS(TableTrend[rating_sum],"="&amp;"")</f>
        <v>0</v>
      </c>
      <c r="BL12" s="28">
        <v>6</v>
      </c>
      <c r="BM12" s="29">
        <f t="shared" si="1"/>
        <v>43471</v>
      </c>
      <c r="BN12" s="28" cm="1">
        <f t="array" ref="BN12">IF(MONTH($D$8)=MONTH(BM12),SUMIFS(TableTrend[positive],TableTrend[review_time],"="&amp;$BM12,TableTrend[topic],"="&amp;INDEX($C$22:$C$28,$D$3)),NA())</f>
        <v>0</v>
      </c>
      <c r="BO12" s="28" cm="1">
        <f t="array" ref="BO12">IF(MONTH($D$8)=MONTH(BM12),SUMIFS(TableTrend[neutral],TableTrend[review_time],"="&amp;$BM12,TableTrend[topic],"="&amp;INDEX($C$22:$C$28,$D$3)),NA())</f>
        <v>0</v>
      </c>
      <c r="BP12" s="28" cm="1">
        <f t="array" ref="BP12">IF(MONTH($D$8)=MONTH(BM12),SUMIFS(TableTrend[negative],TableTrend[review_time],"="&amp;$BM12,TableTrend[topic],"="&amp;INDEX($C$22:$C$28,$D$3)),NA())</f>
        <v>0</v>
      </c>
      <c r="BQ12" s="28" cm="1">
        <f t="array" ref="BQ12">IF(MONTH($D$8)=MONTH(BM12),SUMIFS(TableTrend[total],TableTrend[review_time],"="&amp;$BM12,TableTrend[topic],"="&amp;INDEX($C$22:$C$28,$D$3)),NA())</f>
        <v>0</v>
      </c>
      <c r="BR12" s="28" cm="1">
        <f t="array" ref="BR12">IF($BK$14,IF(MONTH($D$8)=MONTH(BM12),IFERROR(SUMIFS(TableTrend[rating_sum],TableTrend[review_time],"="&amp;$BM12,TableTrend[topic],"="&amp;INDEX($C$22:$C$28,$D$3)) / SUMIFS(TableTrend[rating_count],TableTrend[review_time],"="&amp;$BM12,TableTrend[topic],"="&amp;INDEX($C$22:$C$28,$D$3)),0),NA()),NA())</f>
        <v>0</v>
      </c>
      <c r="BS12" s="30" t="str">
        <f t="shared" si="2"/>
        <v/>
      </c>
      <c r="BT12" s="30" t="str">
        <f t="shared" si="3"/>
        <v/>
      </c>
      <c r="BU12" s="30" t="str">
        <f t="shared" si="4"/>
        <v/>
      </c>
      <c r="BV12" s="23"/>
      <c r="BW12" s="23"/>
      <c r="BX12" s="23"/>
      <c r="BY12" s="23"/>
      <c r="BZ12" s="23"/>
    </row>
    <row r="13" spans="2:83" x14ac:dyDescent="0.3">
      <c r="K13" s="7"/>
      <c r="X13" s="9">
        <v>42751</v>
      </c>
      <c r="Y13" s="9" t="str">
        <v>lock button</v>
      </c>
      <c r="Z13" s="9"/>
      <c r="AA13" s="9" t="str">
        <v>lock button</v>
      </c>
      <c r="AB13" s="8">
        <f>SUMIFS(TableAspect[positive],TableAspect[aspect],"="&amp;AA13,TableAspect[review_time],"&gt;="&amp;$D$7,TableAspect[review_time],"&lt;="&amp;$D$8)</f>
        <v>0</v>
      </c>
      <c r="AC13" s="8">
        <f>SUMIFS(TableAspect[neutral],TableAspect[aspect],"="&amp;AA13,TableAspect[review_time],"&gt;="&amp;$D$7,TableAspect[review_time],"&lt;="&amp;$D$8)</f>
        <v>0</v>
      </c>
      <c r="AD13" s="8">
        <f>SUMIFS(TableAspect[negative],TableAspect[aspect],"="&amp;AA13,TableAspect[review_time],"&gt;="&amp;$D$7,TableAspect[review_time],"&lt;="&amp;$D$8)</f>
        <v>1</v>
      </c>
      <c r="AE13">
        <f>SUMIFS(TableAspect[total],TableAspect[aspect],"="&amp;AA13,TableAspect[review_time],"&gt;="&amp;$D$7,TableAspect[review_time],"&lt;="&amp;$D$8)</f>
        <v>1</v>
      </c>
      <c r="AF13">
        <f>AE13+(COUNTIFS($AE$8:AE13,AE13) - 1) * 0.000000001</f>
        <v>1.000000003</v>
      </c>
      <c r="AH13">
        <f t="shared" si="5"/>
        <v>1.0000000060000001</v>
      </c>
      <c r="AI13" t="str">
        <f t="shared" si="6"/>
        <v>screen</v>
      </c>
      <c r="AJ13">
        <f t="shared" si="7"/>
        <v>0</v>
      </c>
      <c r="AK13">
        <f t="shared" si="8"/>
        <v>0</v>
      </c>
      <c r="AL13">
        <f t="shared" si="9"/>
        <v>1</v>
      </c>
      <c r="AM13">
        <f t="shared" si="10"/>
        <v>1</v>
      </c>
      <c r="AQ13" s="36" t="str" cm="1">
        <f t="array" ref="AQ13">IFERROR(IF(INDEX(AI13:$AI$1048505,$D$4,)=0,"",INDEX(AI13:$AI$1048505,$D$4,)),"")</f>
        <v>screen</v>
      </c>
      <c r="AR13" s="37" t="str" cm="1">
        <f t="array" ref="AR13">IFERROR(IF(INDEX(AJ13:$AJ$1048505,$D$4,)=0,"",INDEX(AJ13:$AJ$1048505,$D$4,)),"")</f>
        <v/>
      </c>
      <c r="AS13" s="37" t="str" cm="1">
        <f t="array" ref="AS13">IFERROR(IF(INDEX(AK13:$AK$1048505,$D$4,)=0,"",INDEX(AK13:$AK$1048505,$D$4,)),"")</f>
        <v/>
      </c>
      <c r="AT13" s="37" cm="1">
        <f t="array" ref="AT13">IFERROR(IF(INDEX(AL13:$AL$1048505,$D$4,)=0,"",INDEX(AL13:$AL$1048505,$D$4,)),"")</f>
        <v>1</v>
      </c>
      <c r="AU13" s="37" cm="1">
        <f t="array" ref="AU13">IFERROR(IF(INDEX(AM13:$AM$1048505,$D$4,)=0,"",INDEX(AM13:$AM$1048505,$D$4,)),"")</f>
        <v>1</v>
      </c>
      <c r="AW13" t="str">
        <f t="shared" si="0"/>
        <v>Hardware Features and Design</v>
      </c>
      <c r="AX13">
        <f>SUMIFS(TableAspect[positive],TableAspect[topic],"="&amp;$AW13,TableAspect[review_time],"&gt;="&amp;$D$7,TableAspect[review_time],"&lt;="&amp;$D$8)</f>
        <v>6</v>
      </c>
      <c r="AY13">
        <f>SUMIFS(TableAspect[neutral],TableAspect[topic],"="&amp;$AW13,TableAspect[review_time],"&gt;="&amp;$D$7,TableAspect[review_time],"&lt;="&amp;$D$8)</f>
        <v>0</v>
      </c>
      <c r="AZ13">
        <f>SUMIFS(TableAspect[negative],TableAspect[topic],"="&amp;$AW13,TableAspect[review_time],"&gt;="&amp;$D$7,TableAspect[review_time],"&lt;="&amp;$D$8)</f>
        <v>11</v>
      </c>
      <c r="BA13">
        <f>IF(SUMIFS(TableAspect[total],TableAspect[topic],"="&amp;$AW13,TableAspect[review_time],"&gt;="&amp;$D$7,TableAspect[review_time],"&lt;="&amp;$D$8)&lt;&gt;0,SUMIFS(TableAspect[total],TableAspect[topic],"="&amp;$AW13,TableAspect[review_time],"&gt;="&amp;$D$7,TableAspect[review_time],"&lt;="&amp;$D$8),"")</f>
        <v>17</v>
      </c>
      <c r="BC13">
        <v>0.25</v>
      </c>
      <c r="BD13" s="13">
        <f t="shared" si="11"/>
        <v>1.5</v>
      </c>
      <c r="BE13" s="13" t="str">
        <f t="shared" si="12"/>
        <v/>
      </c>
      <c r="BF13" s="13">
        <f t="shared" si="13"/>
        <v>2.75</v>
      </c>
      <c r="BI13" s="22">
        <v>42430</v>
      </c>
      <c r="BJ13" s="17" t="s">
        <v>62</v>
      </c>
      <c r="BK13" s="17">
        <f>ROWS(TableTrend[rating_sum])</f>
        <v>135</v>
      </c>
      <c r="BL13" s="28">
        <v>7</v>
      </c>
      <c r="BM13" s="29">
        <f t="shared" si="1"/>
        <v>43472</v>
      </c>
      <c r="BN13" s="28" cm="1">
        <f t="array" ref="BN13">IF(MONTH($D$8)=MONTH(BM13),SUMIFS(TableTrend[positive],TableTrend[review_time],"="&amp;$BM13,TableTrend[topic],"="&amp;INDEX($C$22:$C$28,$D$3)),NA())</f>
        <v>0</v>
      </c>
      <c r="BO13" s="28" cm="1">
        <f t="array" ref="BO13">IF(MONTH($D$8)=MONTH(BM13),SUMIFS(TableTrend[neutral],TableTrend[review_time],"="&amp;$BM13,TableTrend[topic],"="&amp;INDEX($C$22:$C$28,$D$3)),NA())</f>
        <v>0</v>
      </c>
      <c r="BP13" s="28" cm="1">
        <f t="array" ref="BP13">IF(MONTH($D$8)=MONTH(BM13),SUMIFS(TableTrend[negative],TableTrend[review_time],"="&amp;$BM13,TableTrend[topic],"="&amp;INDEX($C$22:$C$28,$D$3)),NA())</f>
        <v>1</v>
      </c>
      <c r="BQ13" s="28" cm="1">
        <f t="array" ref="BQ13">IF(MONTH($D$8)=MONTH(BM13),SUMIFS(TableTrend[total],TableTrend[review_time],"="&amp;$BM13,TableTrend[topic],"="&amp;INDEX($C$22:$C$28,$D$3)),NA())</f>
        <v>1</v>
      </c>
      <c r="BR13" s="28" cm="1">
        <f t="array" ref="BR13">IF($BK$14,IF(MONTH($D$8)=MONTH(BM13),IFERROR(SUMIFS(TableTrend[rating_sum],TableTrend[review_time],"="&amp;$BM13,TableTrend[topic],"="&amp;INDEX($C$22:$C$28,$D$3)) / SUMIFS(TableTrend[rating_count],TableTrend[review_time],"="&amp;$BM13,TableTrend[topic],"="&amp;INDEX($C$22:$C$28,$D$3)),0),NA()),NA())</f>
        <v>5</v>
      </c>
      <c r="BS13" s="30" t="str">
        <f t="shared" si="2"/>
        <v/>
      </c>
      <c r="BT13" s="30" t="str">
        <f t="shared" si="3"/>
        <v/>
      </c>
      <c r="BU13" s="30">
        <f t="shared" si="4"/>
        <v>1</v>
      </c>
      <c r="BV13" s="23"/>
      <c r="BW13" s="23"/>
      <c r="BX13" s="23"/>
      <c r="BY13" s="23"/>
      <c r="BZ13" s="23"/>
    </row>
    <row r="14" spans="2:83" x14ac:dyDescent="0.3">
      <c r="K14" s="7"/>
      <c r="X14" s="9">
        <v>42936</v>
      </c>
      <c r="Y14" s="9" t="str">
        <v>sim card</v>
      </c>
      <c r="Z14" s="9"/>
      <c r="AA14" s="9" t="str">
        <v>build</v>
      </c>
      <c r="AB14" s="8">
        <f>SUMIFS(TableAspect[positive],TableAspect[aspect],"="&amp;AA14,TableAspect[review_time],"&gt;="&amp;$D$7,TableAspect[review_time],"&lt;="&amp;$D$8)</f>
        <v>1</v>
      </c>
      <c r="AC14" s="8">
        <f>SUMIFS(TableAspect[neutral],TableAspect[aspect],"="&amp;AA14,TableAspect[review_time],"&gt;="&amp;$D$7,TableAspect[review_time],"&lt;="&amp;$D$8)</f>
        <v>0</v>
      </c>
      <c r="AD14" s="8">
        <f>SUMIFS(TableAspect[negative],TableAspect[aspect],"="&amp;AA14,TableAspect[review_time],"&gt;="&amp;$D$7,TableAspect[review_time],"&lt;="&amp;$D$8)</f>
        <v>0</v>
      </c>
      <c r="AE14">
        <f>SUMIFS(TableAspect[total],TableAspect[aspect],"="&amp;AA14,TableAspect[review_time],"&gt;="&amp;$D$7,TableAspect[review_time],"&lt;="&amp;$D$8)</f>
        <v>1</v>
      </c>
      <c r="AF14">
        <f>AE14+(COUNTIFS($AE$8:AE14,AE14) - 1) * 0.000000001</f>
        <v>1.0000000040000001</v>
      </c>
      <c r="AH14">
        <f t="shared" si="5"/>
        <v>1.000000005</v>
      </c>
      <c r="AI14" t="str">
        <f t="shared" si="6"/>
        <v>physical design</v>
      </c>
      <c r="AJ14">
        <f t="shared" si="7"/>
        <v>1</v>
      </c>
      <c r="AK14">
        <f t="shared" si="8"/>
        <v>0</v>
      </c>
      <c r="AL14">
        <f t="shared" si="9"/>
        <v>0</v>
      </c>
      <c r="AM14">
        <f t="shared" si="10"/>
        <v>1</v>
      </c>
      <c r="AQ14" s="36" t="str" cm="1">
        <f t="array" ref="AQ14">IFERROR(IF(INDEX(AI14:$AI$1048505,$D$4,)=0,"",INDEX(AI14:$AI$1048505,$D$4,)),"")</f>
        <v>physical design</v>
      </c>
      <c r="AR14" s="37" cm="1">
        <f t="array" ref="AR14">IFERROR(IF(INDEX(AJ14:$AJ$1048505,$D$4,)=0,"",INDEX(AJ14:$AJ$1048505,$D$4,)),"")</f>
        <v>1</v>
      </c>
      <c r="AS14" s="37" t="str" cm="1">
        <f t="array" ref="AS14">IFERROR(IF(INDEX(AK14:$AK$1048505,$D$4,)=0,"",INDEX(AK14:$AK$1048505,$D$4,)),"")</f>
        <v/>
      </c>
      <c r="AT14" s="37" t="str" cm="1">
        <f t="array" ref="AT14">IFERROR(IF(INDEX(AL14:$AL$1048505,$D$4,)=0,"",INDEX(AL14:$AL$1048505,$D$4,)),"")</f>
        <v/>
      </c>
      <c r="AU14" s="37" cm="1">
        <f t="array" ref="AU14">IFERROR(IF(INDEX(AM14:$AM$1048505,$D$4,)=0,"",INDEX(AM14:$AM$1048505,$D$4,)),"")</f>
        <v>1</v>
      </c>
      <c r="AW14" t="str">
        <f t="shared" si="0"/>
        <v>Design and Aesthetics</v>
      </c>
      <c r="AX14">
        <f>SUMIFS(TableAspect[positive],TableAspect[topic],"="&amp;$AW14,TableAspect[review_time],"&gt;="&amp;$D$7,TableAspect[review_time],"&lt;="&amp;$D$8)</f>
        <v>2</v>
      </c>
      <c r="AY14">
        <f>SUMIFS(TableAspect[neutral],TableAspect[topic],"="&amp;$AW14,TableAspect[review_time],"&gt;="&amp;$D$7,TableAspect[review_time],"&lt;="&amp;$D$8)</f>
        <v>0</v>
      </c>
      <c r="AZ14">
        <f>SUMIFS(TableAspect[negative],TableAspect[topic],"="&amp;$AW14,TableAspect[review_time],"&gt;="&amp;$D$7,TableAspect[review_time],"&lt;="&amp;$D$8)</f>
        <v>0</v>
      </c>
      <c r="BA14">
        <f>IF(SUMIFS(TableAspect[total],TableAspect[topic],"="&amp;$AW14,TableAspect[review_time],"&gt;="&amp;$D$7,TableAspect[review_time],"&lt;="&amp;$D$8)&lt;&gt;0,SUMIFS(TableAspect[total],TableAspect[topic],"="&amp;$AW14,TableAspect[review_time],"&gt;="&amp;$D$7,TableAspect[review_time],"&lt;="&amp;$D$8),"")</f>
        <v>2</v>
      </c>
      <c r="BC14">
        <v>0.25</v>
      </c>
      <c r="BD14" s="13">
        <f t="shared" si="11"/>
        <v>0.5</v>
      </c>
      <c r="BE14" s="13" t="str">
        <f t="shared" si="12"/>
        <v/>
      </c>
      <c r="BF14" s="13" t="str">
        <f t="shared" si="13"/>
        <v/>
      </c>
      <c r="BI14" s="22">
        <v>42582</v>
      </c>
      <c r="BJ14" s="27" t="s">
        <v>63</v>
      </c>
      <c r="BK14" s="27">
        <f>IF($BK$12&lt;&gt;$BK$13,1,0)</f>
        <v>1</v>
      </c>
      <c r="BL14" s="28">
        <v>8</v>
      </c>
      <c r="BM14" s="29">
        <f t="shared" si="1"/>
        <v>43473</v>
      </c>
      <c r="BN14" s="28" cm="1">
        <f t="array" ref="BN14">IF(MONTH($D$8)=MONTH(BM14),SUMIFS(TableTrend[positive],TableTrend[review_time],"="&amp;$BM14,TableTrend[topic],"="&amp;INDEX($C$22:$C$28,$D$3)),NA())</f>
        <v>0</v>
      </c>
      <c r="BO14" s="28" cm="1">
        <f t="array" ref="BO14">IF(MONTH($D$8)=MONTH(BM14),SUMIFS(TableTrend[neutral],TableTrend[review_time],"="&amp;$BM14,TableTrend[topic],"="&amp;INDEX($C$22:$C$28,$D$3)),NA())</f>
        <v>0</v>
      </c>
      <c r="BP14" s="28" cm="1">
        <f t="array" ref="BP14">IF(MONTH($D$8)=MONTH(BM14),SUMIFS(TableTrend[negative],TableTrend[review_time],"="&amp;$BM14,TableTrend[topic],"="&amp;INDEX($C$22:$C$28,$D$3)),NA())</f>
        <v>0</v>
      </c>
      <c r="BQ14" s="28" cm="1">
        <f t="array" ref="BQ14">IF(MONTH($D$8)=MONTH(BM14),SUMIFS(TableTrend[total],TableTrend[review_time],"="&amp;$BM14,TableTrend[topic],"="&amp;INDEX($C$22:$C$28,$D$3)),NA())</f>
        <v>0</v>
      </c>
      <c r="BR14" s="28" cm="1">
        <f t="array" ref="BR14">IF($BK$14,IF(MONTH($D$8)=MONTH(BM14),IFERROR(SUMIFS(TableTrend[rating_sum],TableTrend[review_time],"="&amp;$BM14,TableTrend[topic],"="&amp;INDEX($C$22:$C$28,$D$3)) / SUMIFS(TableTrend[rating_count],TableTrend[review_time],"="&amp;$BM14,TableTrend[topic],"="&amp;INDEX($C$22:$C$28,$D$3)),0),NA()),NA())</f>
        <v>0</v>
      </c>
      <c r="BS14" s="30" t="str">
        <f t="shared" si="2"/>
        <v/>
      </c>
      <c r="BT14" s="30" t="str">
        <f t="shared" si="3"/>
        <v/>
      </c>
      <c r="BU14" s="30" t="str">
        <f t="shared" si="4"/>
        <v/>
      </c>
      <c r="BV14" s="23"/>
      <c r="BW14" s="23"/>
      <c r="BX14" s="23"/>
      <c r="BY14" s="23"/>
      <c r="BZ14" s="23"/>
    </row>
    <row r="15" spans="2:83" x14ac:dyDescent="0.3">
      <c r="K15" s="7"/>
      <c r="X15" s="9">
        <v>43004</v>
      </c>
      <c r="Y15" s="9" t="str">
        <v>build</v>
      </c>
      <c r="Z15" s="9"/>
      <c r="AA15" s="9" t="str">
        <v>physical design</v>
      </c>
      <c r="AB15" s="8">
        <f>SUMIFS(TableAspect[positive],TableAspect[aspect],"="&amp;AA15,TableAspect[review_time],"&gt;="&amp;$D$7,TableAspect[review_time],"&lt;="&amp;$D$8)</f>
        <v>1</v>
      </c>
      <c r="AC15" s="8">
        <f>SUMIFS(TableAspect[neutral],TableAspect[aspect],"="&amp;AA15,TableAspect[review_time],"&gt;="&amp;$D$7,TableAspect[review_time],"&lt;="&amp;$D$8)</f>
        <v>0</v>
      </c>
      <c r="AD15" s="8">
        <f>SUMIFS(TableAspect[negative],TableAspect[aspect],"="&amp;AA15,TableAspect[review_time],"&gt;="&amp;$D$7,TableAspect[review_time],"&lt;="&amp;$D$8)</f>
        <v>0</v>
      </c>
      <c r="AE15">
        <f>SUMIFS(TableAspect[total],TableAspect[aspect],"="&amp;AA15,TableAspect[review_time],"&gt;="&amp;$D$7,TableAspect[review_time],"&lt;="&amp;$D$8)</f>
        <v>1</v>
      </c>
      <c r="AF15">
        <f>AE15+(COUNTIFS($AE$8:AE15,AE15) - 1) * 0.000000001</f>
        <v>1.000000005</v>
      </c>
      <c r="AH15">
        <f t="shared" si="5"/>
        <v>1.0000000040000001</v>
      </c>
      <c r="AI15" t="str">
        <f t="shared" si="6"/>
        <v>build</v>
      </c>
      <c r="AJ15">
        <f t="shared" si="7"/>
        <v>1</v>
      </c>
      <c r="AK15">
        <f t="shared" si="8"/>
        <v>0</v>
      </c>
      <c r="AL15">
        <f t="shared" si="9"/>
        <v>0</v>
      </c>
      <c r="AM15">
        <f t="shared" si="10"/>
        <v>1</v>
      </c>
      <c r="AQ15" s="36" t="str" cm="1">
        <f t="array" ref="AQ15">IFERROR(IF(INDEX(AI15:$AI$1048505,$D$4,)=0,"",INDEX(AI15:$AI$1048505,$D$4,)),"")</f>
        <v>build</v>
      </c>
      <c r="AR15" s="37" cm="1">
        <f t="array" ref="AR15">IFERROR(IF(INDEX(AJ15:$AJ$1048505,$D$4,)=0,"",INDEX(AJ15:$AJ$1048505,$D$4,)),"")</f>
        <v>1</v>
      </c>
      <c r="AS15" s="37" t="str" cm="1">
        <f t="array" ref="AS15">IFERROR(IF(INDEX(AK15:$AK$1048505,$D$4,)=0,"",INDEX(AK15:$AK$1048505,$D$4,)),"")</f>
        <v/>
      </c>
      <c r="AT15" s="37" t="str" cm="1">
        <f t="array" ref="AT15">IFERROR(IF(INDEX(AL15:$AL$1048505,$D$4,)=0,"",INDEX(AL15:$AL$1048505,$D$4,)),"")</f>
        <v/>
      </c>
      <c r="AU15" s="37" cm="1">
        <f t="array" ref="AU15">IFERROR(IF(INDEX(AM15:$AM$1048505,$D$4,)=0,"",INDEX(AM15:$AM$1048505,$D$4,)),"")</f>
        <v>1</v>
      </c>
      <c r="BI15" s="22">
        <v>42603</v>
      </c>
      <c r="BJ15" s="17" t="s">
        <v>64</v>
      </c>
      <c r="BK15" s="17" t="str">
        <f>"Trend Sentiment  "&amp;CHOOSE($D$11,"","and Rating")</f>
        <v xml:space="preserve">Trend Sentiment  </v>
      </c>
      <c r="BL15" s="28">
        <v>9</v>
      </c>
      <c r="BM15" s="29">
        <f t="shared" si="1"/>
        <v>43474</v>
      </c>
      <c r="BN15" s="28" cm="1">
        <f t="array" ref="BN15">IF(MONTH($D$8)=MONTH(BM15),SUMIFS(TableTrend[positive],TableTrend[review_time],"="&amp;$BM15,TableTrend[topic],"="&amp;INDEX($C$22:$C$28,$D$3)),NA())</f>
        <v>0</v>
      </c>
      <c r="BO15" s="28" cm="1">
        <f t="array" ref="BO15">IF(MONTH($D$8)=MONTH(BM15),SUMIFS(TableTrend[neutral],TableTrend[review_time],"="&amp;$BM15,TableTrend[topic],"="&amp;INDEX($C$22:$C$28,$D$3)),NA())</f>
        <v>0</v>
      </c>
      <c r="BP15" s="28" cm="1">
        <f t="array" ref="BP15">IF(MONTH($D$8)=MONTH(BM15),SUMIFS(TableTrend[negative],TableTrend[review_time],"="&amp;$BM15,TableTrend[topic],"="&amp;INDEX($C$22:$C$28,$D$3)),NA())</f>
        <v>0</v>
      </c>
      <c r="BQ15" s="28" cm="1">
        <f t="array" ref="BQ15">IF(MONTH($D$8)=MONTH(BM15),SUMIFS(TableTrend[total],TableTrend[review_time],"="&amp;$BM15,TableTrend[topic],"="&amp;INDEX($C$22:$C$28,$D$3)),NA())</f>
        <v>0</v>
      </c>
      <c r="BR15" s="28" cm="1">
        <f t="array" ref="BR15">IF($BK$14,IF(MONTH($D$8)=MONTH(BM15),IFERROR(SUMIFS(TableTrend[rating_sum],TableTrend[review_time],"="&amp;$BM15,TableTrend[topic],"="&amp;INDEX($C$22:$C$28,$D$3)) / SUMIFS(TableTrend[rating_count],TableTrend[review_time],"="&amp;$BM15,TableTrend[topic],"="&amp;INDEX($C$22:$C$28,$D$3)),0),NA()),NA())</f>
        <v>0</v>
      </c>
      <c r="BS15" s="30" t="str">
        <f t="shared" si="2"/>
        <v/>
      </c>
      <c r="BT15" s="30" t="str">
        <f t="shared" si="3"/>
        <v/>
      </c>
      <c r="BU15" s="30" t="str">
        <f t="shared" si="4"/>
        <v/>
      </c>
      <c r="BV15" s="23"/>
      <c r="BW15" s="23"/>
      <c r="BX15" s="23"/>
      <c r="BY15" s="23"/>
      <c r="BZ15" s="23"/>
    </row>
    <row r="16" spans="2:83" x14ac:dyDescent="0.3">
      <c r="K16" s="7"/>
      <c r="X16" s="9">
        <v>43004</v>
      </c>
      <c r="Y16" s="9" t="str">
        <v>physical design</v>
      </c>
      <c r="Z16" s="9"/>
      <c r="AA16" s="9" t="str">
        <v>screen</v>
      </c>
      <c r="AB16" s="8">
        <f>SUMIFS(TableAspect[positive],TableAspect[aspect],"="&amp;AA16,TableAspect[review_time],"&gt;="&amp;$D$7,TableAspect[review_time],"&lt;="&amp;$D$8)</f>
        <v>0</v>
      </c>
      <c r="AC16" s="8">
        <f>SUMIFS(TableAspect[neutral],TableAspect[aspect],"="&amp;AA16,TableAspect[review_time],"&gt;="&amp;$D$7,TableAspect[review_time],"&lt;="&amp;$D$8)</f>
        <v>0</v>
      </c>
      <c r="AD16" s="8">
        <f>SUMIFS(TableAspect[negative],TableAspect[aspect],"="&amp;AA16,TableAspect[review_time],"&gt;="&amp;$D$7,TableAspect[review_time],"&lt;="&amp;$D$8)</f>
        <v>1</v>
      </c>
      <c r="AE16">
        <f>SUMIFS(TableAspect[total],TableAspect[aspect],"="&amp;AA16,TableAspect[review_time],"&gt;="&amp;$D$7,TableAspect[review_time],"&lt;="&amp;$D$8)</f>
        <v>1</v>
      </c>
      <c r="AF16">
        <f>AE16+(COUNTIFS($AE$8:AE16,AE16) - 1) * 0.000000001</f>
        <v>1.0000000060000001</v>
      </c>
      <c r="AH16">
        <f t="shared" si="5"/>
        <v>1.000000003</v>
      </c>
      <c r="AI16" t="str">
        <f t="shared" si="6"/>
        <v>lock button</v>
      </c>
      <c r="AJ16">
        <f t="shared" si="7"/>
        <v>0</v>
      </c>
      <c r="AK16">
        <f t="shared" si="8"/>
        <v>0</v>
      </c>
      <c r="AL16">
        <f t="shared" si="9"/>
        <v>1</v>
      </c>
      <c r="AM16">
        <f t="shared" si="10"/>
        <v>1</v>
      </c>
      <c r="AQ16" s="36" t="str" cm="1">
        <f t="array" ref="AQ16">IFERROR(IF(INDEX(AI16:$AI$1048505,$D$4,)=0,"",INDEX(AI16:$AI$1048505,$D$4,)),"")</f>
        <v>lock button</v>
      </c>
      <c r="AR16" s="37" t="str" cm="1">
        <f t="array" ref="AR16">IFERROR(IF(INDEX(AJ16:$AJ$1048505,$D$4,)=0,"",INDEX(AJ16:$AJ$1048505,$D$4,)),"")</f>
        <v/>
      </c>
      <c r="AS16" s="37" t="str" cm="1">
        <f t="array" ref="AS16">IFERROR(IF(INDEX(AK16:$AK$1048505,$D$4,)=0,"",INDEX(AK16:$AK$1048505,$D$4,)),"")</f>
        <v/>
      </c>
      <c r="AT16" s="37" cm="1">
        <f t="array" ref="AT16">IFERROR(IF(INDEX(AL16:$AL$1048505,$D$4,)=0,"",INDEX(AL16:$AL$1048505,$D$4,)),"")</f>
        <v>1</v>
      </c>
      <c r="AU16" s="37" cm="1">
        <f t="array" ref="AU16">IFERROR(IF(INDEX(AM16:$AM$1048505,$D$4,)=0,"",INDEX(AM16:$AM$1048505,$D$4,)),"")</f>
        <v>1</v>
      </c>
      <c r="BI16" s="22">
        <v>42649</v>
      </c>
      <c r="BL16" s="28">
        <v>10</v>
      </c>
      <c r="BM16" s="29">
        <f t="shared" si="1"/>
        <v>43475</v>
      </c>
      <c r="BN16" s="28" cm="1">
        <f t="array" ref="BN16">IF(MONTH($D$8)=MONTH(BM16),SUMIFS(TableTrend[positive],TableTrend[review_time],"="&amp;$BM16,TableTrend[topic],"="&amp;INDEX($C$22:$C$28,$D$3)),NA())</f>
        <v>0</v>
      </c>
      <c r="BO16" s="28" cm="1">
        <f t="array" ref="BO16">IF(MONTH($D$8)=MONTH(BM16),SUMIFS(TableTrend[neutral],TableTrend[review_time],"="&amp;$BM16,TableTrend[topic],"="&amp;INDEX($C$22:$C$28,$D$3)),NA())</f>
        <v>0</v>
      </c>
      <c r="BP16" s="28" cm="1">
        <f t="array" ref="BP16">IF(MONTH($D$8)=MONTH(BM16),SUMIFS(TableTrend[negative],TableTrend[review_time],"="&amp;$BM16,TableTrend[topic],"="&amp;INDEX($C$22:$C$28,$D$3)),NA())</f>
        <v>0</v>
      </c>
      <c r="BQ16" s="28" cm="1">
        <f t="array" ref="BQ16">IF(MONTH($D$8)=MONTH(BM16),SUMIFS(TableTrend[total],TableTrend[review_time],"="&amp;$BM16,TableTrend[topic],"="&amp;INDEX($C$22:$C$28,$D$3)),NA())</f>
        <v>0</v>
      </c>
      <c r="BR16" s="28" cm="1">
        <f t="array" ref="BR16">IF($BK$14,IF(MONTH($D$8)=MONTH(BM16),IFERROR(SUMIFS(TableTrend[rating_sum],TableTrend[review_time],"="&amp;$BM16,TableTrend[topic],"="&amp;INDEX($C$22:$C$28,$D$3)) / SUMIFS(TableTrend[rating_count],TableTrend[review_time],"="&amp;$BM16,TableTrend[topic],"="&amp;INDEX($C$22:$C$28,$D$3)),0),NA()),NA())</f>
        <v>0</v>
      </c>
      <c r="BS16" s="30" t="str">
        <f t="shared" si="2"/>
        <v/>
      </c>
      <c r="BT16" s="30" t="str">
        <f t="shared" si="3"/>
        <v/>
      </c>
      <c r="BU16" s="30" t="str">
        <f t="shared" si="4"/>
        <v/>
      </c>
      <c r="BV16" s="23"/>
      <c r="BW16" s="23"/>
      <c r="BX16" s="23"/>
      <c r="BY16" s="23"/>
      <c r="BZ16" s="23"/>
    </row>
    <row r="17" spans="2:78" x14ac:dyDescent="0.3">
      <c r="K17" s="7"/>
      <c r="X17" s="9">
        <v>43129</v>
      </c>
      <c r="Y17" s="9" t="str">
        <v>screen</v>
      </c>
      <c r="Z17" s="9"/>
      <c r="AA17" s="9" t="str">
        <v>finish</v>
      </c>
      <c r="AB17" s="8">
        <f>SUMIFS(TableAspect[positive],TableAspect[aspect],"="&amp;AA17,TableAspect[review_time],"&gt;="&amp;$D$7,TableAspect[review_time],"&lt;="&amp;$D$8)</f>
        <v>1</v>
      </c>
      <c r="AC17" s="8">
        <f>SUMIFS(TableAspect[neutral],TableAspect[aspect],"="&amp;AA17,TableAspect[review_time],"&gt;="&amp;$D$7,TableAspect[review_time],"&lt;="&amp;$D$8)</f>
        <v>0</v>
      </c>
      <c r="AD17" s="8">
        <f>SUMIFS(TableAspect[negative],TableAspect[aspect],"="&amp;AA17,TableAspect[review_time],"&gt;="&amp;$D$7,TableAspect[review_time],"&lt;="&amp;$D$8)</f>
        <v>0</v>
      </c>
      <c r="AE17">
        <f>SUMIFS(TableAspect[total],TableAspect[aspect],"="&amp;AA17,TableAspect[review_time],"&gt;="&amp;$D$7,TableAspect[review_time],"&lt;="&amp;$D$8)</f>
        <v>1</v>
      </c>
      <c r="AF17">
        <f>AE17+(COUNTIFS($AE$8:AE17,AE17) - 1) * 0.000000001</f>
        <v>1.0000000069999999</v>
      </c>
      <c r="AH17">
        <f t="shared" si="5"/>
        <v>1.0000000019999999</v>
      </c>
      <c r="AI17" t="str">
        <f t="shared" si="6"/>
        <v>mobile sim card</v>
      </c>
      <c r="AJ17">
        <f t="shared" si="7"/>
        <v>0</v>
      </c>
      <c r="AK17">
        <f t="shared" si="8"/>
        <v>0</v>
      </c>
      <c r="AL17">
        <f t="shared" si="9"/>
        <v>1</v>
      </c>
      <c r="AM17">
        <f t="shared" si="10"/>
        <v>1</v>
      </c>
      <c r="AQ17" s="36" t="str" cm="1">
        <f t="array" ref="AQ17">IFERROR(IF(INDEX(AI17:$AI$1048505,$D$4,)=0,"",INDEX(AI17:$AI$1048505,$D$4,)),"")</f>
        <v>mobile sim card</v>
      </c>
      <c r="AR17" s="37" t="str" cm="1">
        <f t="array" ref="AR17">IFERROR(IF(INDEX(AJ17:$AJ$1048505,$D$4,)=0,"",INDEX(AJ17:$AJ$1048505,$D$4,)),"")</f>
        <v/>
      </c>
      <c r="AS17" s="37" t="str" cm="1">
        <f t="array" ref="AS17">IFERROR(IF(INDEX(AK17:$AK$1048505,$D$4,)=0,"",INDEX(AK17:$AK$1048505,$D$4,)),"")</f>
        <v/>
      </c>
      <c r="AT17" s="37" cm="1">
        <f t="array" ref="AT17">IFERROR(IF(INDEX(AL17:$AL$1048505,$D$4,)=0,"",INDEX(AL17:$AL$1048505,$D$4,)),"")</f>
        <v>1</v>
      </c>
      <c r="AU17" s="37" cm="1">
        <f t="array" ref="AU17">IFERROR(IF(INDEX(AM17:$AM$1048505,$D$4,)=0,"",INDEX(AM17:$AM$1048505,$D$4,)),"")</f>
        <v>1</v>
      </c>
      <c r="BI17" s="22">
        <v>42663</v>
      </c>
      <c r="BL17" s="28">
        <v>11</v>
      </c>
      <c r="BM17" s="29">
        <f t="shared" si="1"/>
        <v>43476</v>
      </c>
      <c r="BN17" s="28" cm="1">
        <f t="array" ref="BN17">IF(MONTH($D$8)=MONTH(BM17),SUMIFS(TableTrend[positive],TableTrend[review_time],"="&amp;$BM17,TableTrend[topic],"="&amp;INDEX($C$22:$C$28,$D$3)),NA())</f>
        <v>0</v>
      </c>
      <c r="BO17" s="28" cm="1">
        <f t="array" ref="BO17">IF(MONTH($D$8)=MONTH(BM17),SUMIFS(TableTrend[neutral],TableTrend[review_time],"="&amp;$BM17,TableTrend[topic],"="&amp;INDEX($C$22:$C$28,$D$3)),NA())</f>
        <v>0</v>
      </c>
      <c r="BP17" s="28" cm="1">
        <f t="array" ref="BP17">IF(MONTH($D$8)=MONTH(BM17),SUMIFS(TableTrend[negative],TableTrend[review_time],"="&amp;$BM17,TableTrend[topic],"="&amp;INDEX($C$22:$C$28,$D$3)),NA())</f>
        <v>0</v>
      </c>
      <c r="BQ17" s="28" cm="1">
        <f t="array" ref="BQ17">IF(MONTH($D$8)=MONTH(BM17),SUMIFS(TableTrend[total],TableTrend[review_time],"="&amp;$BM17,TableTrend[topic],"="&amp;INDEX($C$22:$C$28,$D$3)),NA())</f>
        <v>0</v>
      </c>
      <c r="BR17" s="28" cm="1">
        <f t="array" ref="BR17">IF($BK$14,IF(MONTH($D$8)=MONTH(BM17),IFERROR(SUMIFS(TableTrend[rating_sum],TableTrend[review_time],"="&amp;$BM17,TableTrend[topic],"="&amp;INDEX($C$22:$C$28,$D$3)) / SUMIFS(TableTrend[rating_count],TableTrend[review_time],"="&amp;$BM17,TableTrend[topic],"="&amp;INDEX($C$22:$C$28,$D$3)),0),NA()),NA())</f>
        <v>0</v>
      </c>
      <c r="BS17" s="30" t="str">
        <f t="shared" si="2"/>
        <v/>
      </c>
      <c r="BT17" s="30" t="str">
        <f t="shared" si="3"/>
        <v/>
      </c>
      <c r="BU17" s="30" t="str">
        <f t="shared" si="4"/>
        <v/>
      </c>
      <c r="BV17" s="23"/>
      <c r="BW17" s="23"/>
      <c r="BX17" s="23"/>
      <c r="BY17" s="23"/>
      <c r="BZ17" s="23"/>
    </row>
    <row r="18" spans="2:78" x14ac:dyDescent="0.3">
      <c r="K18" s="7"/>
      <c r="X18" s="9">
        <v>43143</v>
      </c>
      <c r="Y18" s="9" t="str">
        <v>finish</v>
      </c>
      <c r="Z18" s="9"/>
      <c r="AA18" s="9" t="str">
        <v>front</v>
      </c>
      <c r="AB18" s="8">
        <f>SUMIFS(TableAspect[positive],TableAspect[aspect],"="&amp;AA18,TableAspect[review_time],"&gt;="&amp;$D$7,TableAspect[review_time],"&lt;="&amp;$D$8)</f>
        <v>0</v>
      </c>
      <c r="AC18" s="8">
        <f>SUMIFS(TableAspect[neutral],TableAspect[aspect],"="&amp;AA18,TableAspect[review_time],"&gt;="&amp;$D$7,TableAspect[review_time],"&lt;="&amp;$D$8)</f>
        <v>0</v>
      </c>
      <c r="AD18" s="8">
        <f>SUMIFS(TableAspect[negative],TableAspect[aspect],"="&amp;AA18,TableAspect[review_time],"&gt;="&amp;$D$7,TableAspect[review_time],"&lt;="&amp;$D$8)</f>
        <v>1</v>
      </c>
      <c r="AE18">
        <f>SUMIFS(TableAspect[total],TableAspect[aspect],"="&amp;AA18,TableAspect[review_time],"&gt;="&amp;$D$7,TableAspect[review_time],"&lt;="&amp;$D$8)</f>
        <v>1</v>
      </c>
      <c r="AF18">
        <f>AE18+(COUNTIFS($AE$8:AE18,AE18) - 1) * 0.000000001</f>
        <v>1.000000008</v>
      </c>
      <c r="AH18">
        <f t="shared" si="5"/>
        <v>1.0000000010000001</v>
      </c>
      <c r="AI18" t="str">
        <f t="shared" si="6"/>
        <v>camera</v>
      </c>
      <c r="AJ18">
        <f t="shared" si="7"/>
        <v>1</v>
      </c>
      <c r="AK18">
        <f t="shared" si="8"/>
        <v>0</v>
      </c>
      <c r="AL18">
        <f t="shared" si="9"/>
        <v>0</v>
      </c>
      <c r="AM18">
        <f t="shared" si="10"/>
        <v>1</v>
      </c>
      <c r="AR18" s="20"/>
      <c r="BI18" s="22">
        <v>42681</v>
      </c>
      <c r="BL18" s="28">
        <v>12</v>
      </c>
      <c r="BM18" s="29">
        <f t="shared" si="1"/>
        <v>43477</v>
      </c>
      <c r="BN18" s="28" cm="1">
        <f t="array" ref="BN18">IF(MONTH($D$8)=MONTH(BM18),SUMIFS(TableTrend[positive],TableTrend[review_time],"="&amp;$BM18,TableTrend[topic],"="&amp;INDEX($C$22:$C$28,$D$3)),NA())</f>
        <v>0</v>
      </c>
      <c r="BO18" s="28" cm="1">
        <f t="array" ref="BO18">IF(MONTH($D$8)=MONTH(BM18),SUMIFS(TableTrend[neutral],TableTrend[review_time],"="&amp;$BM18,TableTrend[topic],"="&amp;INDEX($C$22:$C$28,$D$3)),NA())</f>
        <v>0</v>
      </c>
      <c r="BP18" s="28" cm="1">
        <f t="array" ref="BP18">IF(MONTH($D$8)=MONTH(BM18),SUMIFS(TableTrend[negative],TableTrend[review_time],"="&amp;$BM18,TableTrend[topic],"="&amp;INDEX($C$22:$C$28,$D$3)),NA())</f>
        <v>0</v>
      </c>
      <c r="BQ18" s="28" cm="1">
        <f t="array" ref="BQ18">IF(MONTH($D$8)=MONTH(BM18),SUMIFS(TableTrend[total],TableTrend[review_time],"="&amp;$BM18,TableTrend[topic],"="&amp;INDEX($C$22:$C$28,$D$3)),NA())</f>
        <v>0</v>
      </c>
      <c r="BR18" s="28" cm="1">
        <f t="array" ref="BR18">IF($BK$14,IF(MONTH($D$8)=MONTH(BM18),IFERROR(SUMIFS(TableTrend[rating_sum],TableTrend[review_time],"="&amp;$BM18,TableTrend[topic],"="&amp;INDEX($C$22:$C$28,$D$3)) / SUMIFS(TableTrend[rating_count],TableTrend[review_time],"="&amp;$BM18,TableTrend[topic],"="&amp;INDEX($C$22:$C$28,$D$3)),0),NA()),NA())</f>
        <v>0</v>
      </c>
      <c r="BS18" s="30" t="str">
        <f t="shared" si="2"/>
        <v/>
      </c>
      <c r="BT18" s="30" t="str">
        <f t="shared" si="3"/>
        <v/>
      </c>
      <c r="BU18" s="30" t="str">
        <f t="shared" si="4"/>
        <v/>
      </c>
      <c r="BV18" s="23"/>
      <c r="BW18" s="23"/>
      <c r="BX18" s="23"/>
      <c r="BY18" s="23"/>
      <c r="BZ18" s="23"/>
    </row>
    <row r="19" spans="2:78" x14ac:dyDescent="0.3">
      <c r="B19" s="3" t="s">
        <v>10</v>
      </c>
      <c r="C19" s="4"/>
      <c r="D19" s="4"/>
      <c r="E19" s="4"/>
      <c r="K19" s="7"/>
      <c r="X19" s="9">
        <v>43143</v>
      </c>
      <c r="Y19" s="9" t="str">
        <v>front</v>
      </c>
      <c r="Z19" s="9"/>
      <c r="AA19" s="9" t="str">
        <v>glass</v>
      </c>
      <c r="AB19" s="8">
        <f>SUMIFS(TableAspect[positive],TableAspect[aspect],"="&amp;AA19,TableAspect[review_time],"&gt;="&amp;$D$7,TableAspect[review_time],"&lt;="&amp;$D$8)</f>
        <v>0</v>
      </c>
      <c r="AC19" s="8">
        <f>SUMIFS(TableAspect[neutral],TableAspect[aspect],"="&amp;AA19,TableAspect[review_time],"&gt;="&amp;$D$7,TableAspect[review_time],"&lt;="&amp;$D$8)</f>
        <v>0</v>
      </c>
      <c r="AD19" s="8">
        <f>SUMIFS(TableAspect[negative],TableAspect[aspect],"="&amp;AA19,TableAspect[review_time],"&gt;="&amp;$D$7,TableAspect[review_time],"&lt;="&amp;$D$8)</f>
        <v>1</v>
      </c>
      <c r="AE19">
        <f>SUMIFS(TableAspect[total],TableAspect[aspect],"="&amp;AA19,TableAspect[review_time],"&gt;="&amp;$D$7,TableAspect[review_time],"&lt;="&amp;$D$8)</f>
        <v>1</v>
      </c>
      <c r="AF19">
        <f>AE19+(COUNTIFS($AE$8:AE19,AE19) - 1) * 0.000000001</f>
        <v>1.0000000090000001</v>
      </c>
      <c r="AH19">
        <f t="shared" si="5"/>
        <v>1</v>
      </c>
      <c r="AI19" t="str">
        <f t="shared" si="6"/>
        <v>quality</v>
      </c>
      <c r="AJ19">
        <f t="shared" si="7"/>
        <v>0</v>
      </c>
      <c r="AK19">
        <f t="shared" si="8"/>
        <v>0</v>
      </c>
      <c r="AL19">
        <f t="shared" si="9"/>
        <v>1</v>
      </c>
      <c r="AM19">
        <f t="shared" si="10"/>
        <v>1</v>
      </c>
      <c r="BI19" s="22">
        <v>42697</v>
      </c>
      <c r="BL19" s="28">
        <v>13</v>
      </c>
      <c r="BM19" s="29">
        <f t="shared" si="1"/>
        <v>43478</v>
      </c>
      <c r="BN19" s="28" cm="1">
        <f t="array" ref="BN19">IF(MONTH($D$8)=MONTH(BM19),SUMIFS(TableTrend[positive],TableTrend[review_time],"="&amp;$BM19,TableTrend[topic],"="&amp;INDEX($C$22:$C$28,$D$3)),NA())</f>
        <v>0</v>
      </c>
      <c r="BO19" s="28" cm="1">
        <f t="array" ref="BO19">IF(MONTH($D$8)=MONTH(BM19),SUMIFS(TableTrend[neutral],TableTrend[review_time],"="&amp;$BM19,TableTrend[topic],"="&amp;INDEX($C$22:$C$28,$D$3)),NA())</f>
        <v>0</v>
      </c>
      <c r="BP19" s="28" cm="1">
        <f t="array" ref="BP19">IF(MONTH($D$8)=MONTH(BM19),SUMIFS(TableTrend[negative],TableTrend[review_time],"="&amp;$BM19,TableTrend[topic],"="&amp;INDEX($C$22:$C$28,$D$3)),NA())</f>
        <v>0</v>
      </c>
      <c r="BQ19" s="28" cm="1">
        <f t="array" ref="BQ19">IF(MONTH($D$8)=MONTH(BM19),SUMIFS(TableTrend[total],TableTrend[review_time],"="&amp;$BM19,TableTrend[topic],"="&amp;INDEX($C$22:$C$28,$D$3)),NA())</f>
        <v>0</v>
      </c>
      <c r="BR19" s="28" cm="1">
        <f t="array" ref="BR19">IF($BK$14,IF(MONTH($D$8)=MONTH(BM19),IFERROR(SUMIFS(TableTrend[rating_sum],TableTrend[review_time],"="&amp;$BM19,TableTrend[topic],"="&amp;INDEX($C$22:$C$28,$D$3)) / SUMIFS(TableTrend[rating_count],TableTrend[review_time],"="&amp;$BM19,TableTrend[topic],"="&amp;INDEX($C$22:$C$28,$D$3)),0),NA()),NA())</f>
        <v>0</v>
      </c>
      <c r="BS19" s="30" t="str">
        <f t="shared" si="2"/>
        <v/>
      </c>
      <c r="BT19" s="30" t="str">
        <f t="shared" si="3"/>
        <v/>
      </c>
      <c r="BU19" s="30" t="str">
        <f t="shared" si="4"/>
        <v/>
      </c>
      <c r="BV19" s="23"/>
      <c r="BW19" s="23"/>
      <c r="BX19" s="23"/>
      <c r="BY19" s="23"/>
      <c r="BZ19" s="23"/>
    </row>
    <row r="20" spans="2:78" x14ac:dyDescent="0.3">
      <c r="K20" s="7"/>
      <c r="X20" s="9">
        <v>43143</v>
      </c>
      <c r="Y20" s="9" t="str">
        <v>glass</v>
      </c>
      <c r="Z20" s="9"/>
      <c r="AA20" s="9" t="str">
        <v>back</v>
      </c>
      <c r="AB20" s="8"/>
      <c r="AC20" s="8"/>
      <c r="AD20" s="8"/>
      <c r="AH20" t="e">
        <f t="shared" si="5"/>
        <v>#NUM!</v>
      </c>
      <c r="AI20" t="e">
        <f t="shared" si="6"/>
        <v>#NUM!</v>
      </c>
      <c r="AJ20" t="e">
        <f t="shared" si="7"/>
        <v>#NUM!</v>
      </c>
      <c r="AK20" t="e">
        <f t="shared" si="8"/>
        <v>#NUM!</v>
      </c>
      <c r="AL20" t="e">
        <f t="shared" si="9"/>
        <v>#NUM!</v>
      </c>
      <c r="AM20" t="e">
        <f t="shared" si="10"/>
        <v>#NUM!</v>
      </c>
      <c r="BI20" s="22">
        <v>42703</v>
      </c>
      <c r="BL20" s="28">
        <v>14</v>
      </c>
      <c r="BM20" s="29">
        <f t="shared" si="1"/>
        <v>43479</v>
      </c>
      <c r="BN20" s="28" cm="1">
        <f t="array" ref="BN20">IF(MONTH($D$8)=MONTH(BM20),SUMIFS(TableTrend[positive],TableTrend[review_time],"="&amp;$BM20,TableTrend[topic],"="&amp;INDEX($C$22:$C$28,$D$3)),NA())</f>
        <v>0</v>
      </c>
      <c r="BO20" s="28" cm="1">
        <f t="array" ref="BO20">IF(MONTH($D$8)=MONTH(BM20),SUMIFS(TableTrend[neutral],TableTrend[review_time],"="&amp;$BM20,TableTrend[topic],"="&amp;INDEX($C$22:$C$28,$D$3)),NA())</f>
        <v>0</v>
      </c>
      <c r="BP20" s="28" cm="1">
        <f t="array" ref="BP20">IF(MONTH($D$8)=MONTH(BM20),SUMIFS(TableTrend[negative],TableTrend[review_time],"="&amp;$BM20,TableTrend[topic],"="&amp;INDEX($C$22:$C$28,$D$3)),NA())</f>
        <v>0</v>
      </c>
      <c r="BQ20" s="28" cm="1">
        <f t="array" ref="BQ20">IF(MONTH($D$8)=MONTH(BM20),SUMIFS(TableTrend[total],TableTrend[review_time],"="&amp;$BM20,TableTrend[topic],"="&amp;INDEX($C$22:$C$28,$D$3)),NA())</f>
        <v>0</v>
      </c>
      <c r="BR20" s="28" cm="1">
        <f t="array" ref="BR20">IF($BK$14,IF(MONTH($D$8)=MONTH(BM20),IFERROR(SUMIFS(TableTrend[rating_sum],TableTrend[review_time],"="&amp;$BM20,TableTrend[topic],"="&amp;INDEX($C$22:$C$28,$D$3)) / SUMIFS(TableTrend[rating_count],TableTrend[review_time],"="&amp;$BM20,TableTrend[topic],"="&amp;INDEX($C$22:$C$28,$D$3)),0),NA()),NA())</f>
        <v>0</v>
      </c>
      <c r="BS20" s="30" t="str">
        <f t="shared" si="2"/>
        <v/>
      </c>
      <c r="BT20" s="30" t="str">
        <f t="shared" si="3"/>
        <v/>
      </c>
      <c r="BU20" s="30" t="str">
        <f t="shared" si="4"/>
        <v/>
      </c>
      <c r="BV20" s="23"/>
      <c r="BW20" s="23"/>
      <c r="BX20" s="23"/>
      <c r="BY20" s="23"/>
      <c r="BZ20" s="23"/>
    </row>
    <row r="21" spans="2:78" x14ac:dyDescent="0.3">
      <c r="B21" s="5" t="s">
        <v>11</v>
      </c>
      <c r="C21" s="5" t="s">
        <v>1</v>
      </c>
      <c r="D21" s="5"/>
      <c r="E21" s="5" t="s">
        <v>60</v>
      </c>
      <c r="F21" s="5"/>
      <c r="G21" s="5"/>
      <c r="K21" s="7"/>
      <c r="X21" s="9">
        <v>43143</v>
      </c>
      <c r="Y21" s="9" t="str">
        <v>back</v>
      </c>
      <c r="Z21" s="9"/>
      <c r="AA21" s="9" t="str">
        <v>battery life</v>
      </c>
      <c r="AB21" s="8"/>
      <c r="AC21" s="8"/>
      <c r="AD21" s="8"/>
      <c r="AH21" t="e">
        <f t="shared" si="5"/>
        <v>#NUM!</v>
      </c>
      <c r="AI21" t="e">
        <f t="shared" si="6"/>
        <v>#NUM!</v>
      </c>
      <c r="AJ21" t="e">
        <f t="shared" si="7"/>
        <v>#NUM!</v>
      </c>
      <c r="AK21" t="e">
        <f t="shared" si="8"/>
        <v>#NUM!</v>
      </c>
      <c r="AL21" t="e">
        <f t="shared" si="9"/>
        <v>#NUM!</v>
      </c>
      <c r="AM21" t="e">
        <f t="shared" si="10"/>
        <v>#NUM!</v>
      </c>
      <c r="BI21" s="22">
        <v>42741</v>
      </c>
      <c r="BL21" s="28">
        <v>15</v>
      </c>
      <c r="BM21" s="29">
        <f t="shared" si="1"/>
        <v>43480</v>
      </c>
      <c r="BN21" s="28" cm="1">
        <f t="array" ref="BN21">IF(MONTH($D$8)=MONTH(BM21),SUMIFS(TableTrend[positive],TableTrend[review_time],"="&amp;$BM21,TableTrend[topic],"="&amp;INDEX($C$22:$C$28,$D$3)),NA())</f>
        <v>0</v>
      </c>
      <c r="BO21" s="28" cm="1">
        <f t="array" ref="BO21">IF(MONTH($D$8)=MONTH(BM21),SUMIFS(TableTrend[neutral],TableTrend[review_time],"="&amp;$BM21,TableTrend[topic],"="&amp;INDEX($C$22:$C$28,$D$3)),NA())</f>
        <v>0</v>
      </c>
      <c r="BP21" s="28" cm="1">
        <f t="array" ref="BP21">IF(MONTH($D$8)=MONTH(BM21),SUMIFS(TableTrend[negative],TableTrend[review_time],"="&amp;$BM21,TableTrend[topic],"="&amp;INDEX($C$22:$C$28,$D$3)),NA())</f>
        <v>0</v>
      </c>
      <c r="BQ21" s="28" cm="1">
        <f t="array" ref="BQ21">IF(MONTH($D$8)=MONTH(BM21),SUMIFS(TableTrend[total],TableTrend[review_time],"="&amp;$BM21,TableTrend[topic],"="&amp;INDEX($C$22:$C$28,$D$3)),NA())</f>
        <v>0</v>
      </c>
      <c r="BR21" s="28" cm="1">
        <f t="array" ref="BR21">IF($BK$14,IF(MONTH($D$8)=MONTH(BM21),IFERROR(SUMIFS(TableTrend[rating_sum],TableTrend[review_time],"="&amp;$BM21,TableTrend[topic],"="&amp;INDEX($C$22:$C$28,$D$3)) / SUMIFS(TableTrend[rating_count],TableTrend[review_time],"="&amp;$BM21,TableTrend[topic],"="&amp;INDEX($C$22:$C$28,$D$3)),0),NA()),NA())</f>
        <v>0</v>
      </c>
      <c r="BS21" s="30" t="str">
        <f t="shared" si="2"/>
        <v/>
      </c>
      <c r="BT21" s="30" t="str">
        <f t="shared" si="3"/>
        <v/>
      </c>
      <c r="BU21" s="30" t="str">
        <f t="shared" si="4"/>
        <v/>
      </c>
      <c r="BV21" s="23"/>
      <c r="BW21" s="23"/>
      <c r="BX21" s="23"/>
      <c r="BY21" s="23"/>
      <c r="BZ21" s="23"/>
    </row>
    <row r="22" spans="2:78" x14ac:dyDescent="0.3">
      <c r="B22">
        <v>1</v>
      </c>
      <c r="C22" s="49" t="s">
        <v>164</v>
      </c>
      <c r="E22" t="s">
        <v>58</v>
      </c>
      <c r="K22" s="7"/>
      <c r="X22" s="9">
        <v>43424</v>
      </c>
      <c r="Y22" s="9" t="str">
        <v>battery</v>
      </c>
      <c r="Z22" s="9"/>
      <c r="AA22" s="9" t="str">
        <v>screen protector</v>
      </c>
      <c r="AB22" s="8"/>
      <c r="AC22" s="8"/>
      <c r="AD22" s="8"/>
      <c r="AH22" t="e">
        <f t="shared" si="5"/>
        <v>#NUM!</v>
      </c>
      <c r="AI22" t="e">
        <f t="shared" si="6"/>
        <v>#NUM!</v>
      </c>
      <c r="AJ22" t="e">
        <f t="shared" si="7"/>
        <v>#NUM!</v>
      </c>
      <c r="AK22" t="e">
        <f t="shared" si="8"/>
        <v>#NUM!</v>
      </c>
      <c r="AL22" t="e">
        <f t="shared" si="9"/>
        <v>#NUM!</v>
      </c>
      <c r="AM22" t="e">
        <f t="shared" si="10"/>
        <v>#NUM!</v>
      </c>
      <c r="BI22" s="22">
        <v>42751</v>
      </c>
      <c r="BL22" s="28">
        <v>16</v>
      </c>
      <c r="BM22" s="29">
        <f t="shared" si="1"/>
        <v>43481</v>
      </c>
      <c r="BN22" s="28" cm="1">
        <f t="array" ref="BN22">IF(MONTH($D$8)=MONTH(BM22),SUMIFS(TableTrend[positive],TableTrend[review_time],"="&amp;$BM22,TableTrend[topic],"="&amp;INDEX($C$22:$C$28,$D$3)),NA())</f>
        <v>0</v>
      </c>
      <c r="BO22" s="28" cm="1">
        <f t="array" ref="BO22">IF(MONTH($D$8)=MONTH(BM22),SUMIFS(TableTrend[neutral],TableTrend[review_time],"="&amp;$BM22,TableTrend[topic],"="&amp;INDEX($C$22:$C$28,$D$3)),NA())</f>
        <v>0</v>
      </c>
      <c r="BP22" s="28" cm="1">
        <f t="array" ref="BP22">IF(MONTH($D$8)=MONTH(BM22),SUMIFS(TableTrend[negative],TableTrend[review_time],"="&amp;$BM22,TableTrend[topic],"="&amp;INDEX($C$22:$C$28,$D$3)),NA())</f>
        <v>0</v>
      </c>
      <c r="BQ22" s="28" cm="1">
        <f t="array" ref="BQ22">IF(MONTH($D$8)=MONTH(BM22),SUMIFS(TableTrend[total],TableTrend[review_time],"="&amp;$BM22,TableTrend[topic],"="&amp;INDEX($C$22:$C$28,$D$3)),NA())</f>
        <v>0</v>
      </c>
      <c r="BR22" s="28" cm="1">
        <f t="array" ref="BR22">IF($BK$14,IF(MONTH($D$8)=MONTH(BM22),IFERROR(SUMIFS(TableTrend[rating_sum],TableTrend[review_time],"="&amp;$BM22,TableTrend[topic],"="&amp;INDEX($C$22:$C$28,$D$3)) / SUMIFS(TableTrend[rating_count],TableTrend[review_time],"="&amp;$BM22,TableTrend[topic],"="&amp;INDEX($C$22:$C$28,$D$3)),0),NA()),NA())</f>
        <v>0</v>
      </c>
      <c r="BS22" s="30" t="str">
        <f t="shared" si="2"/>
        <v/>
      </c>
      <c r="BT22" s="30" t="str">
        <f t="shared" si="3"/>
        <v/>
      </c>
      <c r="BU22" s="30" t="str">
        <f t="shared" si="4"/>
        <v/>
      </c>
      <c r="BV22" s="23"/>
      <c r="BW22" s="23"/>
      <c r="BX22" s="23"/>
      <c r="BY22" s="23"/>
      <c r="BZ22" s="23"/>
    </row>
    <row r="23" spans="2:78" x14ac:dyDescent="0.3">
      <c r="B23">
        <v>2</v>
      </c>
      <c r="C23" s="49" t="s">
        <v>89</v>
      </c>
      <c r="E23" t="s">
        <v>13</v>
      </c>
      <c r="K23" s="7"/>
      <c r="X23" s="9">
        <v>43437</v>
      </c>
      <c r="Y23" s="9" t="str">
        <v>battery life</v>
      </c>
      <c r="Z23" s="9"/>
      <c r="AA23" s="9" t="str">
        <v/>
      </c>
      <c r="AB23" s="8"/>
      <c r="AC23" s="8"/>
      <c r="AD23" s="8"/>
      <c r="AH23" t="e">
        <f t="shared" si="5"/>
        <v>#NUM!</v>
      </c>
      <c r="AI23" t="e">
        <f t="shared" si="6"/>
        <v>#NUM!</v>
      </c>
      <c r="AJ23" t="e">
        <f t="shared" si="7"/>
        <v>#NUM!</v>
      </c>
      <c r="AK23" t="e">
        <f t="shared" si="8"/>
        <v>#NUM!</v>
      </c>
      <c r="AL23" t="e">
        <f t="shared" si="9"/>
        <v>#NUM!</v>
      </c>
      <c r="AM23" t="e">
        <f t="shared" si="10"/>
        <v>#NUM!</v>
      </c>
      <c r="BI23" s="22">
        <v>42779</v>
      </c>
      <c r="BL23" s="28">
        <v>17</v>
      </c>
      <c r="BM23" s="29">
        <f t="shared" si="1"/>
        <v>43482</v>
      </c>
      <c r="BN23" s="28" cm="1">
        <f t="array" ref="BN23">IF(MONTH($D$8)=MONTH(BM23),SUMIFS(TableTrend[positive],TableTrend[review_time],"="&amp;$BM23,TableTrend[topic],"="&amp;INDEX($C$22:$C$28,$D$3)),NA())</f>
        <v>0</v>
      </c>
      <c r="BO23" s="28" cm="1">
        <f t="array" ref="BO23">IF(MONTH($D$8)=MONTH(BM23),SUMIFS(TableTrend[neutral],TableTrend[review_time],"="&amp;$BM23,TableTrend[topic],"="&amp;INDEX($C$22:$C$28,$D$3)),NA())</f>
        <v>0</v>
      </c>
      <c r="BP23" s="28" cm="1">
        <f t="array" ref="BP23">IF(MONTH($D$8)=MONTH(BM23),SUMIFS(TableTrend[negative],TableTrend[review_time],"="&amp;$BM23,TableTrend[topic],"="&amp;INDEX($C$22:$C$28,$D$3)),NA())</f>
        <v>0</v>
      </c>
      <c r="BQ23" s="28" cm="1">
        <f t="array" ref="BQ23">IF(MONTH($D$8)=MONTH(BM23),SUMIFS(TableTrend[total],TableTrend[review_time],"="&amp;$BM23,TableTrend[topic],"="&amp;INDEX($C$22:$C$28,$D$3)),NA())</f>
        <v>0</v>
      </c>
      <c r="BR23" s="28" cm="1">
        <f t="array" ref="BR23">IF($BK$14,IF(MONTH($D$8)=MONTH(BM23),IFERROR(SUMIFS(TableTrend[rating_sum],TableTrend[review_time],"="&amp;$BM23,TableTrend[topic],"="&amp;INDEX($C$22:$C$28,$D$3)) / SUMIFS(TableTrend[rating_count],TableTrend[review_time],"="&amp;$BM23,TableTrend[topic],"="&amp;INDEX($C$22:$C$28,$D$3)),0),NA()),NA())</f>
        <v>0</v>
      </c>
      <c r="BS23" s="30" t="str">
        <f t="shared" si="2"/>
        <v/>
      </c>
      <c r="BT23" s="30" t="str">
        <f t="shared" si="3"/>
        <v/>
      </c>
      <c r="BU23" s="30" t="str">
        <f t="shared" si="4"/>
        <v/>
      </c>
      <c r="BV23" s="23"/>
      <c r="BW23" s="23"/>
      <c r="BX23" s="23"/>
      <c r="BY23" s="23"/>
      <c r="BZ23" s="23"/>
    </row>
    <row r="24" spans="2:78" x14ac:dyDescent="0.3">
      <c r="B24">
        <v>3</v>
      </c>
      <c r="C24" s="49" t="s">
        <v>313</v>
      </c>
      <c r="K24" s="7"/>
      <c r="X24" s="9">
        <v>43472</v>
      </c>
      <c r="Y24" s="9" t="str">
        <v>screen protector</v>
      </c>
      <c r="Z24" s="9"/>
      <c r="AA24" s="9"/>
      <c r="AB24" s="8"/>
      <c r="AC24" s="8"/>
      <c r="AD24" s="8"/>
      <c r="AH24" t="e">
        <f t="shared" si="5"/>
        <v>#NUM!</v>
      </c>
      <c r="AI24" t="e">
        <f t="shared" si="6"/>
        <v>#NUM!</v>
      </c>
      <c r="AJ24" t="e">
        <f t="shared" si="7"/>
        <v>#NUM!</v>
      </c>
      <c r="AK24" t="e">
        <f t="shared" si="8"/>
        <v>#NUM!</v>
      </c>
      <c r="AL24" t="e">
        <f t="shared" si="9"/>
        <v>#NUM!</v>
      </c>
      <c r="AM24" t="e">
        <f t="shared" si="10"/>
        <v>#NUM!</v>
      </c>
      <c r="BI24" s="22">
        <v>42819</v>
      </c>
      <c r="BL24" s="28">
        <v>18</v>
      </c>
      <c r="BM24" s="29">
        <f t="shared" si="1"/>
        <v>43483</v>
      </c>
      <c r="BN24" s="28" cm="1">
        <f t="array" ref="BN24">IF(MONTH($D$8)=MONTH(BM24),SUMIFS(TableTrend[positive],TableTrend[review_time],"="&amp;$BM24,TableTrend[topic],"="&amp;INDEX($C$22:$C$28,$D$3)),NA())</f>
        <v>0</v>
      </c>
      <c r="BO24" s="28" cm="1">
        <f t="array" ref="BO24">IF(MONTH($D$8)=MONTH(BM24),SUMIFS(TableTrend[neutral],TableTrend[review_time],"="&amp;$BM24,TableTrend[topic],"="&amp;INDEX($C$22:$C$28,$D$3)),NA())</f>
        <v>0</v>
      </c>
      <c r="BP24" s="28" cm="1">
        <f t="array" ref="BP24">IF(MONTH($D$8)=MONTH(BM24),SUMIFS(TableTrend[negative],TableTrend[review_time],"="&amp;$BM24,TableTrend[topic],"="&amp;INDEX($C$22:$C$28,$D$3)),NA())</f>
        <v>0</v>
      </c>
      <c r="BQ24" s="28" cm="1">
        <f t="array" ref="BQ24">IF(MONTH($D$8)=MONTH(BM24),SUMIFS(TableTrend[total],TableTrend[review_time],"="&amp;$BM24,TableTrend[topic],"="&amp;INDEX($C$22:$C$28,$D$3)),NA())</f>
        <v>0</v>
      </c>
      <c r="BR24" s="28" cm="1">
        <f t="array" ref="BR24">IF($BK$14,IF(MONTH($D$8)=MONTH(BM24),IFERROR(SUMIFS(TableTrend[rating_sum],TableTrend[review_time],"="&amp;$BM24,TableTrend[topic],"="&amp;INDEX($C$22:$C$28,$D$3)) / SUMIFS(TableTrend[rating_count],TableTrend[review_time],"="&amp;$BM24,TableTrend[topic],"="&amp;INDEX($C$22:$C$28,$D$3)),0),NA()),NA())</f>
        <v>0</v>
      </c>
      <c r="BS24" s="30" t="str">
        <f t="shared" si="2"/>
        <v/>
      </c>
      <c r="BT24" s="30" t="str">
        <f t="shared" si="3"/>
        <v/>
      </c>
      <c r="BU24" s="30" t="str">
        <f t="shared" si="4"/>
        <v/>
      </c>
      <c r="BV24" s="23"/>
      <c r="BW24" s="23"/>
      <c r="BX24" s="23"/>
      <c r="BY24" s="23"/>
      <c r="BZ24" s="23"/>
    </row>
    <row r="25" spans="2:78" x14ac:dyDescent="0.3">
      <c r="B25">
        <v>4</v>
      </c>
      <c r="C25" s="49" t="s">
        <v>134</v>
      </c>
      <c r="K25" s="7"/>
      <c r="X25" s="9"/>
      <c r="Y25" s="9"/>
      <c r="Z25" s="9"/>
      <c r="AA25" s="9"/>
      <c r="AB25" s="8"/>
      <c r="AC25" s="8"/>
      <c r="AD25" s="8"/>
      <c r="AH25" t="e">
        <f t="shared" si="5"/>
        <v>#NUM!</v>
      </c>
      <c r="AI25" t="e">
        <f t="shared" si="6"/>
        <v>#NUM!</v>
      </c>
      <c r="AJ25" t="e">
        <f t="shared" si="7"/>
        <v>#NUM!</v>
      </c>
      <c r="AK25" t="e">
        <f t="shared" si="8"/>
        <v>#NUM!</v>
      </c>
      <c r="AL25" t="e">
        <f t="shared" si="9"/>
        <v>#NUM!</v>
      </c>
      <c r="AM25" t="e">
        <f t="shared" si="10"/>
        <v>#NUM!</v>
      </c>
      <c r="BI25" s="22">
        <v>42859</v>
      </c>
      <c r="BL25" s="28">
        <v>19</v>
      </c>
      <c r="BM25" s="29">
        <f t="shared" si="1"/>
        <v>43484</v>
      </c>
      <c r="BN25" s="28" cm="1">
        <f t="array" ref="BN25">IF(MONTH($D$8)=MONTH(BM25),SUMIFS(TableTrend[positive],TableTrend[review_time],"="&amp;$BM25,TableTrend[topic],"="&amp;INDEX($C$22:$C$28,$D$3)),NA())</f>
        <v>0</v>
      </c>
      <c r="BO25" s="28" cm="1">
        <f t="array" ref="BO25">IF(MONTH($D$8)=MONTH(BM25),SUMIFS(TableTrend[neutral],TableTrend[review_time],"="&amp;$BM25,TableTrend[topic],"="&amp;INDEX($C$22:$C$28,$D$3)),NA())</f>
        <v>0</v>
      </c>
      <c r="BP25" s="28" cm="1">
        <f t="array" ref="BP25">IF(MONTH($D$8)=MONTH(BM25),SUMIFS(TableTrend[negative],TableTrend[review_time],"="&amp;$BM25,TableTrend[topic],"="&amp;INDEX($C$22:$C$28,$D$3)),NA())</f>
        <v>0</v>
      </c>
      <c r="BQ25" s="28" cm="1">
        <f t="array" ref="BQ25">IF(MONTH($D$8)=MONTH(BM25),SUMIFS(TableTrend[total],TableTrend[review_time],"="&amp;$BM25,TableTrend[topic],"="&amp;INDEX($C$22:$C$28,$D$3)),NA())</f>
        <v>0</v>
      </c>
      <c r="BR25" s="28" cm="1">
        <f t="array" ref="BR25">IF($BK$14,IF(MONTH($D$8)=MONTH(BM25),IFERROR(SUMIFS(TableTrend[rating_sum],TableTrend[review_time],"="&amp;$BM25,TableTrend[topic],"="&amp;INDEX($C$22:$C$28,$D$3)) / SUMIFS(TableTrend[rating_count],TableTrend[review_time],"="&amp;$BM25,TableTrend[topic],"="&amp;INDEX($C$22:$C$28,$D$3)),0),NA()),NA())</f>
        <v>0</v>
      </c>
      <c r="BS25" s="30" t="str">
        <f t="shared" si="2"/>
        <v/>
      </c>
      <c r="BT25" s="30" t="str">
        <f t="shared" si="3"/>
        <v/>
      </c>
      <c r="BU25" s="30" t="str">
        <f t="shared" si="4"/>
        <v/>
      </c>
      <c r="BV25" s="23"/>
      <c r="BW25" s="23"/>
      <c r="BX25" s="23"/>
      <c r="BY25" s="23"/>
      <c r="BZ25" s="23"/>
    </row>
    <row r="26" spans="2:78" x14ac:dyDescent="0.3">
      <c r="B26">
        <v>5</v>
      </c>
      <c r="C26" s="49" t="s">
        <v>303</v>
      </c>
      <c r="K26" s="7"/>
      <c r="X26" s="9"/>
      <c r="Y26" s="9"/>
      <c r="Z26" s="9"/>
      <c r="AA26" s="9"/>
      <c r="AB26" s="8"/>
      <c r="AC26" s="8"/>
      <c r="AD26" s="8"/>
      <c r="AH26" t="e">
        <f t="shared" si="5"/>
        <v>#NUM!</v>
      </c>
      <c r="AI26" t="e">
        <f t="shared" si="6"/>
        <v>#NUM!</v>
      </c>
      <c r="AJ26" t="e">
        <f t="shared" si="7"/>
        <v>#NUM!</v>
      </c>
      <c r="AK26" t="e">
        <f t="shared" si="8"/>
        <v>#NUM!</v>
      </c>
      <c r="AL26" t="e">
        <f t="shared" si="9"/>
        <v>#NUM!</v>
      </c>
      <c r="AM26" t="e">
        <f t="shared" si="10"/>
        <v>#NUM!</v>
      </c>
      <c r="BI26" s="22">
        <v>42936</v>
      </c>
      <c r="BL26" s="28">
        <v>20</v>
      </c>
      <c r="BM26" s="29">
        <f t="shared" si="1"/>
        <v>43485</v>
      </c>
      <c r="BN26" s="28" cm="1">
        <f t="array" ref="BN26">IF(MONTH($D$8)=MONTH(BM26),SUMIFS(TableTrend[positive],TableTrend[review_time],"="&amp;$BM26,TableTrend[topic],"="&amp;INDEX($C$22:$C$28,$D$3)),NA())</f>
        <v>0</v>
      </c>
      <c r="BO26" s="28" cm="1">
        <f t="array" ref="BO26">IF(MONTH($D$8)=MONTH(BM26),SUMIFS(TableTrend[neutral],TableTrend[review_time],"="&amp;$BM26,TableTrend[topic],"="&amp;INDEX($C$22:$C$28,$D$3)),NA())</f>
        <v>0</v>
      </c>
      <c r="BP26" s="28" cm="1">
        <f t="array" ref="BP26">IF(MONTH($D$8)=MONTH(BM26),SUMIFS(TableTrend[negative],TableTrend[review_time],"="&amp;$BM26,TableTrend[topic],"="&amp;INDEX($C$22:$C$28,$D$3)),NA())</f>
        <v>0</v>
      </c>
      <c r="BQ26" s="28" cm="1">
        <f t="array" ref="BQ26">IF(MONTH($D$8)=MONTH(BM26),SUMIFS(TableTrend[total],TableTrend[review_time],"="&amp;$BM26,TableTrend[topic],"="&amp;INDEX($C$22:$C$28,$D$3)),NA())</f>
        <v>0</v>
      </c>
      <c r="BR26" s="28" cm="1">
        <f t="array" ref="BR26">IF($BK$14,IF(MONTH($D$8)=MONTH(BM26),IFERROR(SUMIFS(TableTrend[rating_sum],TableTrend[review_time],"="&amp;$BM26,TableTrend[topic],"="&amp;INDEX($C$22:$C$28,$D$3)) / SUMIFS(TableTrend[rating_count],TableTrend[review_time],"="&amp;$BM26,TableTrend[topic],"="&amp;INDEX($C$22:$C$28,$D$3)),0),NA()),NA())</f>
        <v>0</v>
      </c>
      <c r="BS26" s="30" t="str">
        <f t="shared" si="2"/>
        <v/>
      </c>
      <c r="BT26" s="30" t="str">
        <f t="shared" si="3"/>
        <v/>
      </c>
      <c r="BU26" s="30" t="str">
        <f t="shared" si="4"/>
        <v/>
      </c>
      <c r="BV26" s="23"/>
      <c r="BW26" s="23"/>
      <c r="BX26" s="23"/>
      <c r="BY26" s="23"/>
      <c r="BZ26" s="23"/>
    </row>
    <row r="27" spans="2:78" x14ac:dyDescent="0.3">
      <c r="B27">
        <v>6</v>
      </c>
      <c r="C27" s="49" t="s">
        <v>178</v>
      </c>
      <c r="K27" s="7"/>
      <c r="X27" s="7"/>
      <c r="Z27" s="7"/>
      <c r="AA27" s="7"/>
      <c r="AH27" t="e">
        <f t="shared" si="5"/>
        <v>#NUM!</v>
      </c>
      <c r="AI27" t="e">
        <f t="shared" si="6"/>
        <v>#NUM!</v>
      </c>
      <c r="AJ27" t="e">
        <f t="shared" si="7"/>
        <v>#NUM!</v>
      </c>
      <c r="AK27" t="e">
        <f t="shared" si="8"/>
        <v>#NUM!</v>
      </c>
      <c r="AL27" t="e">
        <f t="shared" si="9"/>
        <v>#NUM!</v>
      </c>
      <c r="AM27" t="e">
        <f t="shared" si="10"/>
        <v>#NUM!</v>
      </c>
      <c r="BI27" s="22">
        <v>42943</v>
      </c>
      <c r="BL27" s="28">
        <v>21</v>
      </c>
      <c r="BM27" s="29">
        <f t="shared" si="1"/>
        <v>43486</v>
      </c>
      <c r="BN27" s="28" cm="1">
        <f t="array" ref="BN27">IF(MONTH($D$8)=MONTH(BM27),SUMIFS(TableTrend[positive],TableTrend[review_time],"="&amp;$BM27,TableTrend[topic],"="&amp;INDEX($C$22:$C$28,$D$3)),NA())</f>
        <v>0</v>
      </c>
      <c r="BO27" s="28" cm="1">
        <f t="array" ref="BO27">IF(MONTH($D$8)=MONTH(BM27),SUMIFS(TableTrend[neutral],TableTrend[review_time],"="&amp;$BM27,TableTrend[topic],"="&amp;INDEX($C$22:$C$28,$D$3)),NA())</f>
        <v>0</v>
      </c>
      <c r="BP27" s="28" cm="1">
        <f t="array" ref="BP27">IF(MONTH($D$8)=MONTH(BM27),SUMIFS(TableTrend[negative],TableTrend[review_time],"="&amp;$BM27,TableTrend[topic],"="&amp;INDEX($C$22:$C$28,$D$3)),NA())</f>
        <v>0</v>
      </c>
      <c r="BQ27" s="28" cm="1">
        <f t="array" ref="BQ27">IF(MONTH($D$8)=MONTH(BM27),SUMIFS(TableTrend[total],TableTrend[review_time],"="&amp;$BM27,TableTrend[topic],"="&amp;INDEX($C$22:$C$28,$D$3)),NA())</f>
        <v>0</v>
      </c>
      <c r="BR27" s="28" cm="1">
        <f t="array" ref="BR27">IF($BK$14,IF(MONTH($D$8)=MONTH(BM27),IFERROR(SUMIFS(TableTrend[rating_sum],TableTrend[review_time],"="&amp;$BM27,TableTrend[topic],"="&amp;INDEX($C$22:$C$28,$D$3)) / SUMIFS(TableTrend[rating_count],TableTrend[review_time],"="&amp;$BM27,TableTrend[topic],"="&amp;INDEX($C$22:$C$28,$D$3)),0),NA()),NA())</f>
        <v>0</v>
      </c>
      <c r="BS27" s="30" t="str">
        <f t="shared" si="2"/>
        <v/>
      </c>
      <c r="BT27" s="30" t="str">
        <f t="shared" si="3"/>
        <v/>
      </c>
      <c r="BU27" s="30" t="str">
        <f t="shared" si="4"/>
        <v/>
      </c>
      <c r="BV27" s="23"/>
      <c r="BW27" s="23"/>
      <c r="BX27" s="23"/>
      <c r="BY27" s="23"/>
      <c r="BZ27" s="23"/>
    </row>
    <row r="28" spans="2:78" x14ac:dyDescent="0.3">
      <c r="B28">
        <v>7</v>
      </c>
      <c r="C28" s="49" t="s">
        <v>171</v>
      </c>
      <c r="K28" s="7"/>
      <c r="X28" s="7"/>
      <c r="Z28" s="7"/>
      <c r="AA28" s="7"/>
      <c r="AH28" t="e">
        <f t="shared" si="5"/>
        <v>#NUM!</v>
      </c>
      <c r="AI28" t="e">
        <f t="shared" si="6"/>
        <v>#NUM!</v>
      </c>
      <c r="AJ28" t="e">
        <f t="shared" si="7"/>
        <v>#NUM!</v>
      </c>
      <c r="AK28" t="e">
        <f t="shared" si="8"/>
        <v>#NUM!</v>
      </c>
      <c r="AL28" t="e">
        <f t="shared" si="9"/>
        <v>#NUM!</v>
      </c>
      <c r="AM28" t="e">
        <f t="shared" si="10"/>
        <v>#NUM!</v>
      </c>
      <c r="BI28" s="22">
        <v>42945</v>
      </c>
      <c r="BL28" s="28">
        <v>22</v>
      </c>
      <c r="BM28" s="29">
        <f t="shared" si="1"/>
        <v>43487</v>
      </c>
      <c r="BN28" s="28" cm="1">
        <f t="array" ref="BN28">IF(MONTH($D$8)=MONTH(BM28),SUMIFS(TableTrend[positive],TableTrend[review_time],"="&amp;$BM28,TableTrend[topic],"="&amp;INDEX($C$22:$C$28,$D$3)),NA())</f>
        <v>0</v>
      </c>
      <c r="BO28" s="28" cm="1">
        <f t="array" ref="BO28">IF(MONTH($D$8)=MONTH(BM28),SUMIFS(TableTrend[neutral],TableTrend[review_time],"="&amp;$BM28,TableTrend[topic],"="&amp;INDEX($C$22:$C$28,$D$3)),NA())</f>
        <v>0</v>
      </c>
      <c r="BP28" s="28" cm="1">
        <f t="array" ref="BP28">IF(MONTH($D$8)=MONTH(BM28),SUMIFS(TableTrend[negative],TableTrend[review_time],"="&amp;$BM28,TableTrend[topic],"="&amp;INDEX($C$22:$C$28,$D$3)),NA())</f>
        <v>0</v>
      </c>
      <c r="BQ28" s="28" cm="1">
        <f t="array" ref="BQ28">IF(MONTH($D$8)=MONTH(BM28),SUMIFS(TableTrend[total],TableTrend[review_time],"="&amp;$BM28,TableTrend[topic],"="&amp;INDEX($C$22:$C$28,$D$3)),NA())</f>
        <v>0</v>
      </c>
      <c r="BR28" s="28" cm="1">
        <f t="array" ref="BR28">IF($BK$14,IF(MONTH($D$8)=MONTH(BM28),IFERROR(SUMIFS(TableTrend[rating_sum],TableTrend[review_time],"="&amp;$BM28,TableTrend[topic],"="&amp;INDEX($C$22:$C$28,$D$3)) / SUMIFS(TableTrend[rating_count],TableTrend[review_time],"="&amp;$BM28,TableTrend[topic],"="&amp;INDEX($C$22:$C$28,$D$3)),0),NA()),NA())</f>
        <v>0</v>
      </c>
      <c r="BS28" s="30" t="str">
        <f t="shared" si="2"/>
        <v/>
      </c>
      <c r="BT28" s="30" t="str">
        <f t="shared" si="3"/>
        <v/>
      </c>
      <c r="BU28" s="30" t="str">
        <f t="shared" si="4"/>
        <v/>
      </c>
      <c r="BV28" s="23"/>
      <c r="BW28" s="23"/>
      <c r="BX28" s="23"/>
      <c r="BY28" s="23"/>
      <c r="BZ28" s="23"/>
    </row>
    <row r="29" spans="2:78" x14ac:dyDescent="0.3">
      <c r="B29">
        <v>8</v>
      </c>
      <c r="C29" s="49" t="s">
        <v>7</v>
      </c>
      <c r="K29" s="7"/>
      <c r="X29" s="7"/>
      <c r="Z29" s="7"/>
      <c r="AA29" s="7"/>
      <c r="AH29" t="e">
        <f t="shared" si="5"/>
        <v>#NUM!</v>
      </c>
      <c r="AI29" t="e">
        <f t="shared" si="6"/>
        <v>#NUM!</v>
      </c>
      <c r="AJ29" t="e">
        <f t="shared" si="7"/>
        <v>#NUM!</v>
      </c>
      <c r="AK29" t="e">
        <f t="shared" si="8"/>
        <v>#NUM!</v>
      </c>
      <c r="AL29" t="e">
        <f t="shared" si="9"/>
        <v>#NUM!</v>
      </c>
      <c r="AM29" t="e">
        <f t="shared" si="10"/>
        <v>#NUM!</v>
      </c>
      <c r="BI29" s="22">
        <v>42998</v>
      </c>
      <c r="BL29" s="28">
        <v>23</v>
      </c>
      <c r="BM29" s="29">
        <f t="shared" si="1"/>
        <v>43488</v>
      </c>
      <c r="BN29" s="28" cm="1">
        <f t="array" ref="BN29">IF(MONTH($D$8)=MONTH(BM29),SUMIFS(TableTrend[positive],TableTrend[review_time],"="&amp;$BM29,TableTrend[topic],"="&amp;INDEX($C$22:$C$28,$D$3)),NA())</f>
        <v>0</v>
      </c>
      <c r="BO29" s="28" cm="1">
        <f t="array" ref="BO29">IF(MONTH($D$8)=MONTH(BM29),SUMIFS(TableTrend[neutral],TableTrend[review_time],"="&amp;$BM29,TableTrend[topic],"="&amp;INDEX($C$22:$C$28,$D$3)),NA())</f>
        <v>0</v>
      </c>
      <c r="BP29" s="28" cm="1">
        <f t="array" ref="BP29">IF(MONTH($D$8)=MONTH(BM29),SUMIFS(TableTrend[negative],TableTrend[review_time],"="&amp;$BM29,TableTrend[topic],"="&amp;INDEX($C$22:$C$28,$D$3)),NA())</f>
        <v>0</v>
      </c>
      <c r="BQ29" s="28" cm="1">
        <f t="array" ref="BQ29">IF(MONTH($D$8)=MONTH(BM29),SUMIFS(TableTrend[total],TableTrend[review_time],"="&amp;$BM29,TableTrend[topic],"="&amp;INDEX($C$22:$C$28,$D$3)),NA())</f>
        <v>0</v>
      </c>
      <c r="BR29" s="28" cm="1">
        <f t="array" ref="BR29">IF($BK$14,IF(MONTH($D$8)=MONTH(BM29),IFERROR(SUMIFS(TableTrend[rating_sum],TableTrend[review_time],"="&amp;$BM29,TableTrend[topic],"="&amp;INDEX($C$22:$C$28,$D$3)) / SUMIFS(TableTrend[rating_count],TableTrend[review_time],"="&amp;$BM29,TableTrend[topic],"="&amp;INDEX($C$22:$C$28,$D$3)),0),NA()),NA())</f>
        <v>0</v>
      </c>
      <c r="BS29" s="30" t="str">
        <f t="shared" si="2"/>
        <v/>
      </c>
      <c r="BT29" s="30" t="str">
        <f t="shared" si="3"/>
        <v/>
      </c>
      <c r="BU29" s="30" t="str">
        <f t="shared" si="4"/>
        <v/>
      </c>
      <c r="BV29" s="23"/>
      <c r="BW29" s="23"/>
      <c r="BX29" s="23"/>
      <c r="BY29" s="23"/>
      <c r="BZ29" s="23"/>
    </row>
    <row r="30" spans="2:78" x14ac:dyDescent="0.3">
      <c r="B30">
        <v>9</v>
      </c>
      <c r="C30" s="49" t="s">
        <v>6</v>
      </c>
      <c r="K30" s="7"/>
      <c r="X30" s="7"/>
      <c r="Z30" s="7"/>
      <c r="AA30" s="7"/>
      <c r="AH30" t="e">
        <f t="shared" si="5"/>
        <v>#NUM!</v>
      </c>
      <c r="AI30" t="e">
        <f t="shared" si="6"/>
        <v>#NUM!</v>
      </c>
      <c r="AJ30" t="e">
        <f t="shared" si="7"/>
        <v>#NUM!</v>
      </c>
      <c r="AK30" t="e">
        <f t="shared" si="8"/>
        <v>#NUM!</v>
      </c>
      <c r="AL30" t="e">
        <f t="shared" si="9"/>
        <v>#NUM!</v>
      </c>
      <c r="AM30" t="e">
        <f t="shared" si="10"/>
        <v>#NUM!</v>
      </c>
      <c r="BI30" s="22">
        <v>43004</v>
      </c>
      <c r="BL30" s="28">
        <v>24</v>
      </c>
      <c r="BM30" s="29">
        <f t="shared" si="1"/>
        <v>43489</v>
      </c>
      <c r="BN30" s="28" cm="1">
        <f t="array" ref="BN30">IF(MONTH($D$8)=MONTH(BM30),SUMIFS(TableTrend[positive],TableTrend[review_time],"="&amp;$BM30,TableTrend[topic],"="&amp;INDEX($C$22:$C$28,$D$3)),NA())</f>
        <v>0</v>
      </c>
      <c r="BO30" s="28" cm="1">
        <f t="array" ref="BO30">IF(MONTH($D$8)=MONTH(BM30),SUMIFS(TableTrend[neutral],TableTrend[review_time],"="&amp;$BM30,TableTrend[topic],"="&amp;INDEX($C$22:$C$28,$D$3)),NA())</f>
        <v>0</v>
      </c>
      <c r="BP30" s="28" cm="1">
        <f t="array" ref="BP30">IF(MONTH($D$8)=MONTH(BM30),SUMIFS(TableTrend[negative],TableTrend[review_time],"="&amp;$BM30,TableTrend[topic],"="&amp;INDEX($C$22:$C$28,$D$3)),NA())</f>
        <v>0</v>
      </c>
      <c r="BQ30" s="28" cm="1">
        <f t="array" ref="BQ30">IF(MONTH($D$8)=MONTH(BM30),SUMIFS(TableTrend[total],TableTrend[review_time],"="&amp;$BM30,TableTrend[topic],"="&amp;INDEX($C$22:$C$28,$D$3)),NA())</f>
        <v>0</v>
      </c>
      <c r="BR30" s="28" cm="1">
        <f t="array" ref="BR30">IF($BK$14,IF(MONTH($D$8)=MONTH(BM30),IFERROR(SUMIFS(TableTrend[rating_sum],TableTrend[review_time],"="&amp;$BM30,TableTrend[topic],"="&amp;INDEX($C$22:$C$28,$D$3)) / SUMIFS(TableTrend[rating_count],TableTrend[review_time],"="&amp;$BM30,TableTrend[topic],"="&amp;INDEX($C$22:$C$28,$D$3)),0),NA()),NA())</f>
        <v>0</v>
      </c>
      <c r="BS30" s="30" t="str">
        <f t="shared" si="2"/>
        <v/>
      </c>
      <c r="BT30" s="30" t="str">
        <f t="shared" si="3"/>
        <v/>
      </c>
      <c r="BU30" s="30" t="str">
        <f t="shared" si="4"/>
        <v/>
      </c>
      <c r="BV30" s="23"/>
      <c r="BW30" s="23"/>
      <c r="BX30" s="23"/>
      <c r="BY30" s="23"/>
      <c r="BZ30" s="23"/>
    </row>
    <row r="31" spans="2:78" x14ac:dyDescent="0.3">
      <c r="K31" s="7"/>
      <c r="X31" s="7"/>
      <c r="Z31" s="7"/>
      <c r="AA31" s="7"/>
      <c r="AH31" t="e">
        <f t="shared" si="5"/>
        <v>#NUM!</v>
      </c>
      <c r="AI31" t="e">
        <f t="shared" si="6"/>
        <v>#NUM!</v>
      </c>
      <c r="AJ31" t="e">
        <f t="shared" si="7"/>
        <v>#NUM!</v>
      </c>
      <c r="AK31" t="e">
        <f t="shared" si="8"/>
        <v>#NUM!</v>
      </c>
      <c r="AL31" t="e">
        <f t="shared" si="9"/>
        <v>#NUM!</v>
      </c>
      <c r="AM31" t="e">
        <f t="shared" si="10"/>
        <v>#NUM!</v>
      </c>
      <c r="BI31" s="22">
        <v>43042</v>
      </c>
      <c r="BL31" s="28">
        <v>25</v>
      </c>
      <c r="BM31" s="29">
        <f t="shared" si="1"/>
        <v>43490</v>
      </c>
      <c r="BN31" s="28" cm="1">
        <f t="array" ref="BN31">IF(MONTH($D$8)=MONTH(BM31),SUMIFS(TableTrend[positive],TableTrend[review_time],"="&amp;$BM31,TableTrend[topic],"="&amp;INDEX($C$22:$C$28,$D$3)),NA())</f>
        <v>0</v>
      </c>
      <c r="BO31" s="28" cm="1">
        <f t="array" ref="BO31">IF(MONTH($D$8)=MONTH(BM31),SUMIFS(TableTrend[neutral],TableTrend[review_time],"="&amp;$BM31,TableTrend[topic],"="&amp;INDEX($C$22:$C$28,$D$3)),NA())</f>
        <v>0</v>
      </c>
      <c r="BP31" s="28" cm="1">
        <f t="array" ref="BP31">IF(MONTH($D$8)=MONTH(BM31),SUMIFS(TableTrend[negative],TableTrend[review_time],"="&amp;$BM31,TableTrend[topic],"="&amp;INDEX($C$22:$C$28,$D$3)),NA())</f>
        <v>0</v>
      </c>
      <c r="BQ31" s="28" cm="1">
        <f t="array" ref="BQ31">IF(MONTH($D$8)=MONTH(BM31),SUMIFS(TableTrend[total],TableTrend[review_time],"="&amp;$BM31,TableTrend[topic],"="&amp;INDEX($C$22:$C$28,$D$3)),NA())</f>
        <v>0</v>
      </c>
      <c r="BR31" s="28" cm="1">
        <f t="array" ref="BR31">IF($BK$14,IF(MONTH($D$8)=MONTH(BM31),IFERROR(SUMIFS(TableTrend[rating_sum],TableTrend[review_time],"="&amp;$BM31,TableTrend[topic],"="&amp;INDEX($C$22:$C$28,$D$3)) / SUMIFS(TableTrend[rating_count],TableTrend[review_time],"="&amp;$BM31,TableTrend[topic],"="&amp;INDEX($C$22:$C$28,$D$3)),0),NA()),NA())</f>
        <v>0</v>
      </c>
      <c r="BS31" s="30" t="str">
        <f t="shared" si="2"/>
        <v/>
      </c>
      <c r="BT31" s="30" t="str">
        <f t="shared" si="3"/>
        <v/>
      </c>
      <c r="BU31" s="30" t="str">
        <f t="shared" si="4"/>
        <v/>
      </c>
      <c r="BV31" s="23"/>
      <c r="BW31" s="23"/>
      <c r="BX31" s="23"/>
      <c r="BY31" s="23"/>
      <c r="BZ31" s="23"/>
    </row>
    <row r="32" spans="2:78" x14ac:dyDescent="0.3">
      <c r="K32" s="7"/>
      <c r="X32" s="7"/>
      <c r="Z32" s="7"/>
      <c r="AA32" s="7"/>
      <c r="AH32" t="e">
        <f t="shared" si="5"/>
        <v>#NUM!</v>
      </c>
      <c r="AI32" t="e">
        <f t="shared" si="6"/>
        <v>#NUM!</v>
      </c>
      <c r="AJ32" t="e">
        <f t="shared" si="7"/>
        <v>#NUM!</v>
      </c>
      <c r="AK32" t="e">
        <f t="shared" si="8"/>
        <v>#NUM!</v>
      </c>
      <c r="AL32" t="e">
        <f t="shared" si="9"/>
        <v>#NUM!</v>
      </c>
      <c r="AM32" t="e">
        <f t="shared" si="10"/>
        <v>#NUM!</v>
      </c>
      <c r="BI32" s="22">
        <v>43072</v>
      </c>
      <c r="BL32" s="28">
        <v>26</v>
      </c>
      <c r="BM32" s="29">
        <f t="shared" si="1"/>
        <v>43491</v>
      </c>
      <c r="BN32" s="28" cm="1">
        <f t="array" ref="BN32">IF(MONTH($D$8)=MONTH(BM32),SUMIFS(TableTrend[positive],TableTrend[review_time],"="&amp;$BM32,TableTrend[topic],"="&amp;INDEX($C$22:$C$28,$D$3)),NA())</f>
        <v>0</v>
      </c>
      <c r="BO32" s="28" cm="1">
        <f t="array" ref="BO32">IF(MONTH($D$8)=MONTH(BM32),SUMIFS(TableTrend[neutral],TableTrend[review_time],"="&amp;$BM32,TableTrend[topic],"="&amp;INDEX($C$22:$C$28,$D$3)),NA())</f>
        <v>0</v>
      </c>
      <c r="BP32" s="28" cm="1">
        <f t="array" ref="BP32">IF(MONTH($D$8)=MONTH(BM32),SUMIFS(TableTrend[negative],TableTrend[review_time],"="&amp;$BM32,TableTrend[topic],"="&amp;INDEX($C$22:$C$28,$D$3)),NA())</f>
        <v>0</v>
      </c>
      <c r="BQ32" s="28" cm="1">
        <f t="array" ref="BQ32">IF(MONTH($D$8)=MONTH(BM32),SUMIFS(TableTrend[total],TableTrend[review_time],"="&amp;$BM32,TableTrend[topic],"="&amp;INDEX($C$22:$C$28,$D$3)),NA())</f>
        <v>0</v>
      </c>
      <c r="BR32" s="28" cm="1">
        <f t="array" ref="BR32">IF($BK$14,IF(MONTH($D$8)=MONTH(BM32),IFERROR(SUMIFS(TableTrend[rating_sum],TableTrend[review_time],"="&amp;$BM32,TableTrend[topic],"="&amp;INDEX($C$22:$C$28,$D$3)) / SUMIFS(TableTrend[rating_count],TableTrend[review_time],"="&amp;$BM32,TableTrend[topic],"="&amp;INDEX($C$22:$C$28,$D$3)),0),NA()),NA())</f>
        <v>0</v>
      </c>
      <c r="BS32" s="30" t="str">
        <f t="shared" si="2"/>
        <v/>
      </c>
      <c r="BT32" s="30" t="str">
        <f t="shared" si="3"/>
        <v/>
      </c>
      <c r="BU32" s="30" t="str">
        <f t="shared" si="4"/>
        <v/>
      </c>
      <c r="BV32" s="23"/>
      <c r="BW32" s="23"/>
      <c r="BX32" s="23"/>
      <c r="BY32" s="23"/>
      <c r="BZ32" s="23"/>
    </row>
    <row r="33" spans="11:78" x14ac:dyDescent="0.3">
      <c r="K33" s="7"/>
      <c r="X33" s="7"/>
      <c r="Z33" s="7"/>
      <c r="AA33" s="7"/>
      <c r="AH33" t="e">
        <f t="shared" si="5"/>
        <v>#NUM!</v>
      </c>
      <c r="AI33" t="e">
        <f t="shared" si="6"/>
        <v>#NUM!</v>
      </c>
      <c r="AJ33" t="e">
        <f t="shared" si="7"/>
        <v>#NUM!</v>
      </c>
      <c r="AK33" t="e">
        <f t="shared" si="8"/>
        <v>#NUM!</v>
      </c>
      <c r="AL33" t="e">
        <f t="shared" si="9"/>
        <v>#NUM!</v>
      </c>
      <c r="AM33" t="e">
        <f t="shared" si="10"/>
        <v>#NUM!</v>
      </c>
      <c r="BI33" s="22">
        <v>43129</v>
      </c>
      <c r="BL33" s="28">
        <v>27</v>
      </c>
      <c r="BM33" s="29">
        <f t="shared" si="1"/>
        <v>43492</v>
      </c>
      <c r="BN33" s="28" cm="1">
        <f t="array" ref="BN33">IF(MONTH($D$8)=MONTH(BM33),SUMIFS(TableTrend[positive],TableTrend[review_time],"="&amp;$BM33,TableTrend[topic],"="&amp;INDEX($C$22:$C$28,$D$3)),NA())</f>
        <v>0</v>
      </c>
      <c r="BO33" s="28" cm="1">
        <f t="array" ref="BO33">IF(MONTH($D$8)=MONTH(BM33),SUMIFS(TableTrend[neutral],TableTrend[review_time],"="&amp;$BM33,TableTrend[topic],"="&amp;INDEX($C$22:$C$28,$D$3)),NA())</f>
        <v>0</v>
      </c>
      <c r="BP33" s="28" cm="1">
        <f t="array" ref="BP33">IF(MONTH($D$8)=MONTH(BM33),SUMIFS(TableTrend[negative],TableTrend[review_time],"="&amp;$BM33,TableTrend[topic],"="&amp;INDEX($C$22:$C$28,$D$3)),NA())</f>
        <v>0</v>
      </c>
      <c r="BQ33" s="28" cm="1">
        <f t="array" ref="BQ33">IF(MONTH($D$8)=MONTH(BM33),SUMIFS(TableTrend[total],TableTrend[review_time],"="&amp;$BM33,TableTrend[topic],"="&amp;INDEX($C$22:$C$28,$D$3)),NA())</f>
        <v>0</v>
      </c>
      <c r="BR33" s="28" cm="1">
        <f t="array" ref="BR33">IF($BK$14,IF(MONTH($D$8)=MONTH(BM33),IFERROR(SUMIFS(TableTrend[rating_sum],TableTrend[review_time],"="&amp;$BM33,TableTrend[topic],"="&amp;INDEX($C$22:$C$28,$D$3)) / SUMIFS(TableTrend[rating_count],TableTrend[review_time],"="&amp;$BM33,TableTrend[topic],"="&amp;INDEX($C$22:$C$28,$D$3)),0),NA()),NA())</f>
        <v>0</v>
      </c>
      <c r="BS33" s="30" t="str">
        <f t="shared" si="2"/>
        <v/>
      </c>
      <c r="BT33" s="30" t="str">
        <f t="shared" si="3"/>
        <v/>
      </c>
      <c r="BU33" s="30" t="str">
        <f t="shared" si="4"/>
        <v/>
      </c>
      <c r="BV33" s="23"/>
      <c r="BW33" s="23"/>
      <c r="BX33" s="23"/>
      <c r="BY33" s="23"/>
      <c r="BZ33" s="23"/>
    </row>
    <row r="34" spans="11:78" x14ac:dyDescent="0.3">
      <c r="K34" s="7"/>
      <c r="X34" s="7"/>
      <c r="Z34" s="7"/>
      <c r="AA34" s="7"/>
      <c r="AH34" t="e">
        <f t="shared" si="5"/>
        <v>#NUM!</v>
      </c>
      <c r="AI34" t="e">
        <f t="shared" si="6"/>
        <v>#NUM!</v>
      </c>
      <c r="AJ34" t="e">
        <f t="shared" si="7"/>
        <v>#NUM!</v>
      </c>
      <c r="AK34" t="e">
        <f t="shared" si="8"/>
        <v>#NUM!</v>
      </c>
      <c r="AL34" t="e">
        <f t="shared" si="9"/>
        <v>#NUM!</v>
      </c>
      <c r="AM34" t="e">
        <f t="shared" si="10"/>
        <v>#NUM!</v>
      </c>
      <c r="BI34" s="22">
        <v>43143</v>
      </c>
      <c r="BL34" s="28">
        <v>28</v>
      </c>
      <c r="BM34" s="29">
        <f t="shared" si="1"/>
        <v>43493</v>
      </c>
      <c r="BN34" s="28" cm="1">
        <f t="array" ref="BN34">IF(MONTH($D$8)=MONTH(BM34),SUMIFS(TableTrend[positive],TableTrend[review_time],"="&amp;$BM34,TableTrend[topic],"="&amp;INDEX($C$22:$C$28,$D$3)),NA())</f>
        <v>0</v>
      </c>
      <c r="BO34" s="28" cm="1">
        <f t="array" ref="BO34">IF(MONTH($D$8)=MONTH(BM34),SUMIFS(TableTrend[neutral],TableTrend[review_time],"="&amp;$BM34,TableTrend[topic],"="&amp;INDEX($C$22:$C$28,$D$3)),NA())</f>
        <v>0</v>
      </c>
      <c r="BP34" s="28" cm="1">
        <f t="array" ref="BP34">IF(MONTH($D$8)=MONTH(BM34),SUMIFS(TableTrend[negative],TableTrend[review_time],"="&amp;$BM34,TableTrend[topic],"="&amp;INDEX($C$22:$C$28,$D$3)),NA())</f>
        <v>0</v>
      </c>
      <c r="BQ34" s="28" cm="1">
        <f t="array" ref="BQ34">IF(MONTH($D$8)=MONTH(BM34),SUMIFS(TableTrend[total],TableTrend[review_time],"="&amp;$BM34,TableTrend[topic],"="&amp;INDEX($C$22:$C$28,$D$3)),NA())</f>
        <v>0</v>
      </c>
      <c r="BR34" s="28" cm="1">
        <f t="array" ref="BR34">IF($BK$14,IF(MONTH($D$8)=MONTH(BM34),IFERROR(SUMIFS(TableTrend[rating_sum],TableTrend[review_time],"="&amp;$BM34,TableTrend[topic],"="&amp;INDEX($C$22:$C$28,$D$3)) / SUMIFS(TableTrend[rating_count],TableTrend[review_time],"="&amp;$BM34,TableTrend[topic],"="&amp;INDEX($C$22:$C$28,$D$3)),0),NA()),NA())</f>
        <v>0</v>
      </c>
      <c r="BS34" s="30" t="str">
        <f t="shared" si="2"/>
        <v/>
      </c>
      <c r="BT34" s="30" t="str">
        <f t="shared" si="3"/>
        <v/>
      </c>
      <c r="BU34" s="30" t="str">
        <f t="shared" si="4"/>
        <v/>
      </c>
      <c r="BV34" s="23"/>
      <c r="BW34" s="23"/>
      <c r="BX34" s="23"/>
      <c r="BY34" s="23"/>
      <c r="BZ34" s="23"/>
    </row>
    <row r="35" spans="11:78" x14ac:dyDescent="0.3">
      <c r="K35" s="7"/>
      <c r="X35" s="7"/>
      <c r="Z35" s="7"/>
      <c r="AA35" s="7"/>
      <c r="AH35" t="e">
        <f t="shared" si="5"/>
        <v>#NUM!</v>
      </c>
      <c r="AI35" t="e">
        <f t="shared" si="6"/>
        <v>#NUM!</v>
      </c>
      <c r="AJ35" t="e">
        <f t="shared" si="7"/>
        <v>#NUM!</v>
      </c>
      <c r="AK35" t="e">
        <f t="shared" si="8"/>
        <v>#NUM!</v>
      </c>
      <c r="AL35" t="e">
        <f t="shared" si="9"/>
        <v>#NUM!</v>
      </c>
      <c r="AM35" t="e">
        <f t="shared" si="10"/>
        <v>#NUM!</v>
      </c>
      <c r="BI35" s="22">
        <v>43148</v>
      </c>
      <c r="BL35" s="28">
        <v>29</v>
      </c>
      <c r="BM35" s="29">
        <f t="shared" si="1"/>
        <v>43494</v>
      </c>
      <c r="BN35" s="28" cm="1">
        <f t="array" ref="BN35">IF(MONTH($D$8)=MONTH(BM35),SUMIFS(TableTrend[positive],TableTrend[review_time],"="&amp;$BM35,TableTrend[topic],"="&amp;INDEX($C$22:$C$28,$D$3)),NA())</f>
        <v>0</v>
      </c>
      <c r="BO35" s="28" cm="1">
        <f t="array" ref="BO35">IF(MONTH($D$8)=MONTH(BM35),SUMIFS(TableTrend[neutral],TableTrend[review_time],"="&amp;$BM35,TableTrend[topic],"="&amp;INDEX($C$22:$C$28,$D$3)),NA())</f>
        <v>0</v>
      </c>
      <c r="BP35" s="28" cm="1">
        <f t="array" ref="BP35">IF(MONTH($D$8)=MONTH(BM35),SUMIFS(TableTrend[negative],TableTrend[review_time],"="&amp;$BM35,TableTrend[topic],"="&amp;INDEX($C$22:$C$28,$D$3)),NA())</f>
        <v>0</v>
      </c>
      <c r="BQ35" s="28" cm="1">
        <f t="array" ref="BQ35">IF(MONTH($D$8)=MONTH(BM35),SUMIFS(TableTrend[total],TableTrend[review_time],"="&amp;$BM35,TableTrend[topic],"="&amp;INDEX($C$22:$C$28,$D$3)),NA())</f>
        <v>0</v>
      </c>
      <c r="BR35" s="28" cm="1">
        <f t="array" ref="BR35">IF($BK$14,IF(MONTH($D$8)=MONTH(BM35),IFERROR(SUMIFS(TableTrend[rating_sum],TableTrend[review_time],"="&amp;$BM35,TableTrend[topic],"="&amp;INDEX($C$22:$C$28,$D$3)) / SUMIFS(TableTrend[rating_count],TableTrend[review_time],"="&amp;$BM35,TableTrend[topic],"="&amp;INDEX($C$22:$C$28,$D$3)),0),NA()),NA())</f>
        <v>0</v>
      </c>
      <c r="BS35" s="30" t="str">
        <f t="shared" si="2"/>
        <v/>
      </c>
      <c r="BT35" s="30" t="str">
        <f t="shared" si="3"/>
        <v/>
      </c>
      <c r="BU35" s="30" t="str">
        <f t="shared" si="4"/>
        <v/>
      </c>
      <c r="BV35" s="23"/>
      <c r="BW35" s="23"/>
      <c r="BX35" s="23"/>
      <c r="BY35" s="23"/>
      <c r="BZ35" s="23"/>
    </row>
    <row r="36" spans="11:78" x14ac:dyDescent="0.3">
      <c r="K36" s="7"/>
      <c r="X36" s="7"/>
      <c r="Z36" s="7"/>
      <c r="AA36" s="7"/>
      <c r="AH36" t="e">
        <f t="shared" si="5"/>
        <v>#NUM!</v>
      </c>
      <c r="AI36" t="e">
        <f t="shared" si="6"/>
        <v>#NUM!</v>
      </c>
      <c r="AJ36" t="e">
        <f t="shared" si="7"/>
        <v>#NUM!</v>
      </c>
      <c r="AK36" t="e">
        <f t="shared" si="8"/>
        <v>#NUM!</v>
      </c>
      <c r="AL36" t="e">
        <f t="shared" si="9"/>
        <v>#NUM!</v>
      </c>
      <c r="AM36" t="e">
        <f t="shared" si="10"/>
        <v>#NUM!</v>
      </c>
      <c r="BI36" s="22">
        <v>43158</v>
      </c>
      <c r="BL36" s="28">
        <v>30</v>
      </c>
      <c r="BM36" s="29">
        <f>IF(MONTH($D$8)=MONTH(DATE(YEAR($D$8),MONTH($D$8),BL36)),DATE(YEAR($D$8),MONTH($D$8),BL36),NA())</f>
        <v>43495</v>
      </c>
      <c r="BN36" s="28" cm="1">
        <f t="array" ref="BN36">IF(MONTH($D$8)=MONTH(BM36),SUMIFS(TableTrend[positive],TableTrend[review_time],"="&amp;$BM36,TableTrend[topic],"="&amp;INDEX($C$22:$C$28,$D$3)),NA())</f>
        <v>0</v>
      </c>
      <c r="BO36" s="28" cm="1">
        <f t="array" ref="BO36">IF(MONTH($D$8)=MONTH(BM36),SUMIFS(TableTrend[neutral],TableTrend[review_time],"="&amp;$BM36,TableTrend[topic],"="&amp;INDEX($C$22:$C$28,$D$3)),NA())</f>
        <v>0</v>
      </c>
      <c r="BP36" s="28" cm="1">
        <f t="array" ref="BP36">IF(MONTH($D$8)=MONTH(BM36),SUMIFS(TableTrend[negative],TableTrend[review_time],"="&amp;$BM36,TableTrend[topic],"="&amp;INDEX($C$22:$C$28,$D$3)),NA())</f>
        <v>0</v>
      </c>
      <c r="BQ36" s="28" cm="1">
        <f t="array" ref="BQ36">IF(MONTH($D$8)=MONTH(BM36),SUMIFS(TableTrend[total],TableTrend[review_time],"="&amp;$BM36,TableTrend[topic],"="&amp;INDEX($C$22:$C$28,$D$3)),NA())</f>
        <v>0</v>
      </c>
      <c r="BR36" s="28" cm="1">
        <f t="array" ref="BR36">IF($BK$14,IF(MONTH($D$8)=MONTH(BM36),IFERROR(SUMIFS(TableTrend[rating_sum],TableTrend[review_time],"="&amp;$BM36,TableTrend[topic],"="&amp;INDEX($C$22:$C$28,$D$3)) / SUMIFS(TableTrend[rating_count],TableTrend[review_time],"="&amp;$BM36,TableTrend[topic],"="&amp;INDEX($C$22:$C$28,$D$3)),0),NA()),NA())</f>
        <v>0</v>
      </c>
      <c r="BS36" s="30" t="str">
        <f t="shared" si="2"/>
        <v/>
      </c>
      <c r="BT36" s="30" t="str">
        <f t="shared" si="3"/>
        <v/>
      </c>
      <c r="BU36" s="30" t="str">
        <f t="shared" si="4"/>
        <v/>
      </c>
      <c r="BV36" s="23"/>
      <c r="BW36" s="23"/>
      <c r="BX36" s="23"/>
      <c r="BY36" s="23"/>
      <c r="BZ36" s="23"/>
    </row>
    <row r="37" spans="11:78" x14ac:dyDescent="0.3">
      <c r="K37" s="7"/>
      <c r="X37" s="7"/>
      <c r="Z37" s="7"/>
      <c r="AA37" s="7"/>
      <c r="AH37" t="e">
        <f t="shared" si="5"/>
        <v>#NUM!</v>
      </c>
      <c r="AI37" t="e">
        <f t="shared" si="6"/>
        <v>#NUM!</v>
      </c>
      <c r="AJ37" t="e">
        <f t="shared" si="7"/>
        <v>#NUM!</v>
      </c>
      <c r="AK37" t="e">
        <f t="shared" si="8"/>
        <v>#NUM!</v>
      </c>
      <c r="AL37" t="e">
        <f t="shared" si="9"/>
        <v>#NUM!</v>
      </c>
      <c r="AM37" t="e">
        <f t="shared" si="10"/>
        <v>#NUM!</v>
      </c>
      <c r="BI37" s="22">
        <v>43193</v>
      </c>
      <c r="BL37" s="28">
        <v>31</v>
      </c>
      <c r="BM37" s="29">
        <f>IF(MONTH($D$8)=MONTH(DATE(YEAR($D$8),MONTH($D$8),BL37)),DATE(YEAR($D$8),MONTH($D$8),BL37),NA())</f>
        <v>43496</v>
      </c>
      <c r="BN37" s="28" cm="1">
        <f t="array" ref="BN37">IF(MONTH($D$8)=MONTH(BM37),SUMIFS(TableTrend[positive],TableTrend[review_time],"="&amp;$BM37,TableTrend[topic],"="&amp;INDEX($C$22:$C$28,$D$3)),NA())</f>
        <v>0</v>
      </c>
      <c r="BO37" s="28" cm="1">
        <f t="array" ref="BO37">IF(MONTH($D$8)=MONTH(BM37),SUMIFS(TableTrend[neutral],TableTrend[review_time],"="&amp;$BM37,TableTrend[topic],"="&amp;INDEX($C$22:$C$28,$D$3)),NA())</f>
        <v>0</v>
      </c>
      <c r="BP37" s="28" cm="1">
        <f t="array" ref="BP37">IF(MONTH($D$8)=MONTH(BM37),SUMIFS(TableTrend[negative],TableTrend[review_time],"="&amp;$BM37,TableTrend[topic],"="&amp;INDEX($C$22:$C$28,$D$3)),NA())</f>
        <v>0</v>
      </c>
      <c r="BQ37" s="28" cm="1">
        <f t="array" ref="BQ37">IF(MONTH($D$8)=MONTH(BM37),SUMIFS(TableTrend[total],TableTrend[review_time],"="&amp;$BM37,TableTrend[topic],"="&amp;INDEX($C$22:$C$28,$D$3)),NA())</f>
        <v>0</v>
      </c>
      <c r="BR37" s="28" cm="1">
        <f t="array" ref="BR37">IF($BK$14,IF(MONTH($D$8)=MONTH(BM37),IFERROR(SUMIFS(TableTrend[rating_sum],TableTrend[review_time],"="&amp;$BM37,TableTrend[topic],"="&amp;INDEX($C$22:$C$28,$D$3)) / SUMIFS(TableTrend[rating_count],TableTrend[review_time],"="&amp;$BM37,TableTrend[topic],"="&amp;INDEX($C$22:$C$28,$D$3)),0),NA()),NA())</f>
        <v>0</v>
      </c>
      <c r="BS37" s="30" t="str">
        <f t="shared" si="2"/>
        <v/>
      </c>
      <c r="BT37" s="30" t="str">
        <f t="shared" si="3"/>
        <v/>
      </c>
      <c r="BU37" s="30" t="str">
        <f t="shared" si="4"/>
        <v/>
      </c>
      <c r="BV37" s="23"/>
      <c r="BW37" s="23"/>
      <c r="BX37" s="23"/>
      <c r="BY37" s="23"/>
      <c r="BZ37" s="23"/>
    </row>
    <row r="38" spans="11:78" x14ac:dyDescent="0.3">
      <c r="K38" s="7"/>
      <c r="X38" s="7"/>
      <c r="Z38" s="7"/>
      <c r="AA38" s="7"/>
      <c r="AH38" t="e">
        <f t="shared" si="5"/>
        <v>#NUM!</v>
      </c>
      <c r="AI38" t="e">
        <f t="shared" si="6"/>
        <v>#NUM!</v>
      </c>
      <c r="AJ38" t="e">
        <f t="shared" si="7"/>
        <v>#NUM!</v>
      </c>
      <c r="AK38" t="e">
        <f t="shared" si="8"/>
        <v>#NUM!</v>
      </c>
      <c r="AL38" t="e">
        <f t="shared" si="9"/>
        <v>#NUM!</v>
      </c>
      <c r="AM38" t="e">
        <f t="shared" si="10"/>
        <v>#NUM!</v>
      </c>
      <c r="BI38" s="22">
        <v>43220</v>
      </c>
    </row>
    <row r="39" spans="11:78" x14ac:dyDescent="0.3">
      <c r="K39" s="7"/>
      <c r="X39" s="7"/>
      <c r="Z39" s="7"/>
      <c r="AA39" s="7"/>
      <c r="AH39" t="e">
        <f t="shared" si="5"/>
        <v>#NUM!</v>
      </c>
      <c r="AI39" t="e">
        <f t="shared" si="6"/>
        <v>#NUM!</v>
      </c>
      <c r="AJ39" t="e">
        <f t="shared" si="7"/>
        <v>#NUM!</v>
      </c>
      <c r="AK39" t="e">
        <f t="shared" si="8"/>
        <v>#NUM!</v>
      </c>
      <c r="AL39" t="e">
        <f t="shared" si="9"/>
        <v>#NUM!</v>
      </c>
      <c r="AM39" t="e">
        <f t="shared" si="10"/>
        <v>#NUM!</v>
      </c>
      <c r="BI39" s="22">
        <v>43271</v>
      </c>
    </row>
    <row r="40" spans="11:78" x14ac:dyDescent="0.3">
      <c r="K40" s="7"/>
      <c r="X40" s="7"/>
      <c r="Z40" s="7"/>
      <c r="AA40" s="7"/>
      <c r="AH40" t="e">
        <f t="shared" si="5"/>
        <v>#NUM!</v>
      </c>
      <c r="AI40" t="e">
        <f t="shared" si="6"/>
        <v>#NUM!</v>
      </c>
      <c r="AJ40" t="e">
        <f t="shared" si="7"/>
        <v>#NUM!</v>
      </c>
      <c r="AK40" t="e">
        <f t="shared" si="8"/>
        <v>#NUM!</v>
      </c>
      <c r="AL40" t="e">
        <f t="shared" si="9"/>
        <v>#NUM!</v>
      </c>
      <c r="AM40" t="e">
        <f t="shared" si="10"/>
        <v>#NUM!</v>
      </c>
      <c r="BI40" s="22">
        <v>43288</v>
      </c>
    </row>
    <row r="41" spans="11:78" x14ac:dyDescent="0.3">
      <c r="K41" s="7"/>
      <c r="X41" s="7"/>
      <c r="Z41" s="7"/>
      <c r="AA41" s="7"/>
      <c r="AH41" t="e">
        <f t="shared" si="5"/>
        <v>#NUM!</v>
      </c>
      <c r="AI41" t="e">
        <f t="shared" si="6"/>
        <v>#NUM!</v>
      </c>
      <c r="AJ41" t="e">
        <f t="shared" si="7"/>
        <v>#NUM!</v>
      </c>
      <c r="AK41" t="e">
        <f t="shared" si="8"/>
        <v>#NUM!</v>
      </c>
      <c r="AL41" t="e">
        <f t="shared" si="9"/>
        <v>#NUM!</v>
      </c>
      <c r="AM41" t="e">
        <f t="shared" si="10"/>
        <v>#NUM!</v>
      </c>
      <c r="BI41" s="22">
        <v>43343</v>
      </c>
    </row>
    <row r="42" spans="11:78" x14ac:dyDescent="0.3">
      <c r="K42" s="7"/>
      <c r="X42" s="7"/>
      <c r="Z42" s="7"/>
      <c r="AA42" s="7"/>
      <c r="AH42" t="e">
        <f t="shared" si="5"/>
        <v>#NUM!</v>
      </c>
      <c r="AI42" t="e">
        <f t="shared" si="6"/>
        <v>#NUM!</v>
      </c>
      <c r="AJ42" t="e">
        <f t="shared" si="7"/>
        <v>#NUM!</v>
      </c>
      <c r="AK42" t="e">
        <f t="shared" si="8"/>
        <v>#NUM!</v>
      </c>
      <c r="AL42" t="e">
        <f t="shared" si="9"/>
        <v>#NUM!</v>
      </c>
      <c r="AM42" t="e">
        <f t="shared" si="10"/>
        <v>#NUM!</v>
      </c>
      <c r="BI42" s="22">
        <v>43422</v>
      </c>
    </row>
    <row r="43" spans="11:78" x14ac:dyDescent="0.3">
      <c r="K43" s="7"/>
      <c r="X43" s="7"/>
      <c r="Z43" s="7"/>
      <c r="AA43" s="7"/>
      <c r="AH43" t="e">
        <f t="shared" si="5"/>
        <v>#NUM!</v>
      </c>
      <c r="AI43" t="e">
        <f t="shared" si="6"/>
        <v>#NUM!</v>
      </c>
      <c r="AJ43" t="e">
        <f t="shared" si="7"/>
        <v>#NUM!</v>
      </c>
      <c r="AK43" t="e">
        <f t="shared" si="8"/>
        <v>#NUM!</v>
      </c>
      <c r="AL43" t="e">
        <f t="shared" si="9"/>
        <v>#NUM!</v>
      </c>
      <c r="AM43" t="e">
        <f t="shared" si="10"/>
        <v>#NUM!</v>
      </c>
      <c r="BI43" s="22">
        <v>43424</v>
      </c>
    </row>
    <row r="44" spans="11:78" x14ac:dyDescent="0.3">
      <c r="K44" s="7"/>
      <c r="X44" s="7"/>
      <c r="Z44" s="7"/>
      <c r="AA44" s="7"/>
      <c r="AH44" t="e">
        <f t="shared" si="5"/>
        <v>#NUM!</v>
      </c>
      <c r="AI44" t="e">
        <f t="shared" si="6"/>
        <v>#NUM!</v>
      </c>
      <c r="AJ44" t="e">
        <f t="shared" si="7"/>
        <v>#NUM!</v>
      </c>
      <c r="AK44" t="e">
        <f t="shared" si="8"/>
        <v>#NUM!</v>
      </c>
      <c r="AL44" t="e">
        <f t="shared" si="9"/>
        <v>#NUM!</v>
      </c>
      <c r="AM44" t="e">
        <f t="shared" si="10"/>
        <v>#NUM!</v>
      </c>
      <c r="BI44" s="22">
        <v>43437</v>
      </c>
      <c r="BL44" s="28"/>
      <c r="BM44" s="28" t="s">
        <v>51</v>
      </c>
      <c r="BN44" s="28" t="s">
        <v>23</v>
      </c>
      <c r="BO44" s="28" t="s">
        <v>22</v>
      </c>
      <c r="BP44" s="28" t="s">
        <v>21</v>
      </c>
      <c r="BQ44" s="28" t="s">
        <v>24</v>
      </c>
      <c r="BR44" s="28" t="s">
        <v>3</v>
      </c>
      <c r="BS44" s="28" t="s">
        <v>39</v>
      </c>
      <c r="BT44" s="28" t="s">
        <v>40</v>
      </c>
      <c r="BU44" s="28" t="s">
        <v>41</v>
      </c>
    </row>
    <row r="45" spans="11:78" x14ac:dyDescent="0.3">
      <c r="K45" s="7"/>
      <c r="X45" s="7"/>
      <c r="Z45" s="7"/>
      <c r="AA45" s="7"/>
      <c r="AH45" t="e">
        <f t="shared" si="5"/>
        <v>#NUM!</v>
      </c>
      <c r="AI45" t="e">
        <f t="shared" si="6"/>
        <v>#NUM!</v>
      </c>
      <c r="AJ45" t="e">
        <f t="shared" si="7"/>
        <v>#NUM!</v>
      </c>
      <c r="AK45" t="e">
        <f t="shared" si="8"/>
        <v>#NUM!</v>
      </c>
      <c r="AL45" t="e">
        <f t="shared" si="9"/>
        <v>#NUM!</v>
      </c>
      <c r="AM45" t="e">
        <f t="shared" si="10"/>
        <v>#NUM!</v>
      </c>
      <c r="BI45" s="22">
        <v>43463</v>
      </c>
      <c r="BL45" s="28">
        <v>1</v>
      </c>
      <c r="BM45" s="29">
        <f t="shared" ref="BM45:BM56" si="14">DATE(YEAR($D$8),BL45,1)</f>
        <v>43466</v>
      </c>
      <c r="BN45" s="28" cm="1">
        <f t="array" ref="BN45">SUMIFS(TableTrend[positive],TableTrend[month],"="&amp;$BM45,TableTrend[topic],"="&amp;INDEX($C$22:$C$28,$D$3))</f>
        <v>0</v>
      </c>
      <c r="BO45" s="28" cm="1">
        <f t="array" ref="BO45">SUMIFS(TableTrend[neutral],TableTrend[month],"="&amp;$BM45,TableTrend[topic],"="&amp;INDEX($C$22:$C$28,$D$3))</f>
        <v>0</v>
      </c>
      <c r="BP45" s="28" cm="1">
        <f t="array" ref="BP45">SUMIFS(TableTrend[negative],TableTrend[month],"="&amp;$BM45,TableTrend[topic],"="&amp;INDEX($C$22:$C$28,$D$3))</f>
        <v>1</v>
      </c>
      <c r="BQ45" s="28" cm="1">
        <f t="array" ref="BQ45">SUMIFS(TableTrend[total],TableTrend[month],"="&amp;$BM45,TableTrend[topic],"="&amp;INDEX($C$22:$C$28,$D$3))</f>
        <v>1</v>
      </c>
      <c r="BR45" s="28" cm="1">
        <f t="array" ref="BR45">IF($BK$14,IFERROR(SUMIFS(TableTrend[rating_sum],TableTrend[month],"="&amp;$BM45,TableTrend[topic],"="&amp;INDEX($C$22:$C$28,$D$3)) / SUMIFS(TableTrend[rating_count],TableTrend[month],"="&amp;$BM45,TableTrend[topic],"="&amp;INDEX($C$22:$C$28,$D$3)),0),NA())</f>
        <v>5</v>
      </c>
      <c r="BS45" s="30" t="str">
        <f>_xlfn.IFNA(IF($BN45=0,"",$BN45/$BQ45),"")</f>
        <v/>
      </c>
      <c r="BT45" s="30" t="str">
        <f>_xlfn.IFNA(IF($BO45=0,"",$BO45/$BQ45),"")</f>
        <v/>
      </c>
      <c r="BU45" s="30">
        <f>_xlfn.IFNA(IF($BP45=0,"",$BP45/$BQ45),"")</f>
        <v>1</v>
      </c>
    </row>
    <row r="46" spans="11:78" x14ac:dyDescent="0.3">
      <c r="K46" s="7"/>
      <c r="X46" s="7"/>
      <c r="Z46" s="7"/>
      <c r="AA46" s="7"/>
      <c r="AH46" t="e">
        <f t="shared" si="5"/>
        <v>#NUM!</v>
      </c>
      <c r="AI46" t="e">
        <f t="shared" si="6"/>
        <v>#NUM!</v>
      </c>
      <c r="AJ46" t="e">
        <f t="shared" si="7"/>
        <v>#NUM!</v>
      </c>
      <c r="AK46" t="e">
        <f t="shared" si="8"/>
        <v>#NUM!</v>
      </c>
      <c r="AL46" t="e">
        <f t="shared" si="9"/>
        <v>#NUM!</v>
      </c>
      <c r="AM46" t="e">
        <f t="shared" si="10"/>
        <v>#NUM!</v>
      </c>
      <c r="BI46" s="22">
        <v>43472</v>
      </c>
      <c r="BL46" s="28">
        <v>2</v>
      </c>
      <c r="BM46" s="29">
        <f t="shared" si="14"/>
        <v>43497</v>
      </c>
      <c r="BN46" s="28" cm="1">
        <f t="array" ref="BN46">SUMIFS(TableTrend[positive],TableTrend[month],"="&amp;$BM46,TableTrend[topic],"="&amp;INDEX($C$22:$C$28,$D$3))</f>
        <v>3</v>
      </c>
      <c r="BO46" s="28" cm="1">
        <f t="array" ref="BO46">SUMIFS(TableTrend[neutral],TableTrend[month],"="&amp;$BM46,TableTrend[topic],"="&amp;INDEX($C$22:$C$28,$D$3))</f>
        <v>0</v>
      </c>
      <c r="BP46" s="28" cm="1">
        <f t="array" ref="BP46">SUMIFS(TableTrend[negative],TableTrend[month],"="&amp;$BM46,TableTrend[topic],"="&amp;INDEX($C$22:$C$28,$D$3))</f>
        <v>3</v>
      </c>
      <c r="BQ46" s="28" cm="1">
        <f t="array" ref="BQ46">SUMIFS(TableTrend[total],TableTrend[month],"="&amp;$BM46,TableTrend[topic],"="&amp;INDEX($C$22:$C$28,$D$3))</f>
        <v>6</v>
      </c>
      <c r="BR46" s="28" cm="1">
        <f t="array" ref="BR46">IF($BK$14,IFERROR(SUMIFS(TableTrend[rating_sum],TableTrend[month],"="&amp;$BM46,TableTrend[topic],"="&amp;INDEX($C$22:$C$28,$D$3)) / SUMIFS(TableTrend[rating_count],TableTrend[month],"="&amp;$BM46,TableTrend[topic],"="&amp;INDEX($C$22:$C$28,$D$3)),0),NA())</f>
        <v>3.6666666666666665</v>
      </c>
      <c r="BS46" s="30">
        <f t="shared" ref="BS46:BS56" si="15">_xlfn.IFNA(IF($BN46=0,"",$BN46/$BQ46),"")</f>
        <v>0.5</v>
      </c>
      <c r="BT46" s="30" t="str">
        <f t="shared" ref="BT46:BT56" si="16">_xlfn.IFNA(IF($BO46=0,"",$BO46/$BQ46),"")</f>
        <v/>
      </c>
      <c r="BU46" s="30">
        <f t="shared" ref="BU46:BU56" si="17">_xlfn.IFNA(IF($BP46=0,"",$BP46/$BQ46),"")</f>
        <v>0.5</v>
      </c>
    </row>
    <row r="47" spans="11:78" x14ac:dyDescent="0.3">
      <c r="K47" s="7"/>
      <c r="X47" s="7"/>
      <c r="Z47" s="7"/>
      <c r="AA47" s="7"/>
      <c r="AH47" t="e">
        <f t="shared" si="5"/>
        <v>#NUM!</v>
      </c>
      <c r="AI47" t="e">
        <f t="shared" si="6"/>
        <v>#NUM!</v>
      </c>
      <c r="AJ47" t="e">
        <f t="shared" si="7"/>
        <v>#NUM!</v>
      </c>
      <c r="AK47" t="e">
        <f t="shared" si="8"/>
        <v>#NUM!</v>
      </c>
      <c r="AL47" t="e">
        <f t="shared" si="9"/>
        <v>#NUM!</v>
      </c>
      <c r="AM47" t="e">
        <f t="shared" si="10"/>
        <v>#NUM!</v>
      </c>
      <c r="BI47" s="22">
        <v>43493</v>
      </c>
      <c r="BL47" s="28">
        <v>3</v>
      </c>
      <c r="BM47" s="29">
        <f t="shared" si="14"/>
        <v>43525</v>
      </c>
      <c r="BN47" s="28" cm="1">
        <f t="array" ref="BN47">SUMIFS(TableTrend[positive],TableTrend[month],"="&amp;$BM47,TableTrend[topic],"="&amp;INDEX($C$22:$C$28,$D$3))</f>
        <v>2</v>
      </c>
      <c r="BO47" s="28" cm="1">
        <f t="array" ref="BO47">SUMIFS(TableTrend[neutral],TableTrend[month],"="&amp;$BM47,TableTrend[topic],"="&amp;INDEX($C$22:$C$28,$D$3))</f>
        <v>0</v>
      </c>
      <c r="BP47" s="28" cm="1">
        <f t="array" ref="BP47">SUMIFS(TableTrend[negative],TableTrend[month],"="&amp;$BM47,TableTrend[topic],"="&amp;INDEX($C$22:$C$28,$D$3))</f>
        <v>1</v>
      </c>
      <c r="BQ47" s="28" cm="1">
        <f t="array" ref="BQ47">SUMIFS(TableTrend[total],TableTrend[month],"="&amp;$BM47,TableTrend[topic],"="&amp;INDEX($C$22:$C$28,$D$3))</f>
        <v>3</v>
      </c>
      <c r="BR47" s="28" cm="1">
        <f t="array" ref="BR47">IF($BK$14,IFERROR(SUMIFS(TableTrend[rating_sum],TableTrend[month],"="&amp;$BM47,TableTrend[topic],"="&amp;INDEX($C$22:$C$28,$D$3)) / SUMIFS(TableTrend[rating_count],TableTrend[month],"="&amp;$BM47,TableTrend[topic],"="&amp;INDEX($C$22:$C$28,$D$3)),0),NA())</f>
        <v>3</v>
      </c>
      <c r="BS47" s="30">
        <f t="shared" si="15"/>
        <v>0.66666666666666663</v>
      </c>
      <c r="BT47" s="30" t="str">
        <f t="shared" si="16"/>
        <v/>
      </c>
      <c r="BU47" s="30">
        <f t="shared" si="17"/>
        <v>0.33333333333333331</v>
      </c>
    </row>
    <row r="48" spans="11:78" x14ac:dyDescent="0.3">
      <c r="K48" s="7"/>
      <c r="X48" s="7"/>
      <c r="Z48" s="7"/>
      <c r="AA48" s="7"/>
      <c r="AH48" t="e">
        <f t="shared" si="5"/>
        <v>#NUM!</v>
      </c>
      <c r="AI48" t="e">
        <f t="shared" si="6"/>
        <v>#NUM!</v>
      </c>
      <c r="AJ48" t="e">
        <f t="shared" si="7"/>
        <v>#NUM!</v>
      </c>
      <c r="AK48" t="e">
        <f t="shared" si="8"/>
        <v>#NUM!</v>
      </c>
      <c r="AL48" t="e">
        <f t="shared" si="9"/>
        <v>#NUM!</v>
      </c>
      <c r="AM48" t="e">
        <f t="shared" si="10"/>
        <v>#NUM!</v>
      </c>
      <c r="BI48" s="22">
        <v>43497</v>
      </c>
      <c r="BL48" s="28">
        <v>4</v>
      </c>
      <c r="BM48" s="29">
        <f t="shared" si="14"/>
        <v>43556</v>
      </c>
      <c r="BN48" s="28" cm="1">
        <f t="array" ref="BN48">SUMIFS(TableTrend[positive],TableTrend[month],"="&amp;$BM48,TableTrend[topic],"="&amp;INDEX($C$22:$C$28,$D$3))</f>
        <v>1</v>
      </c>
      <c r="BO48" s="28" cm="1">
        <f t="array" ref="BO48">SUMIFS(TableTrend[neutral],TableTrend[month],"="&amp;$BM48,TableTrend[topic],"="&amp;INDEX($C$22:$C$28,$D$3))</f>
        <v>0</v>
      </c>
      <c r="BP48" s="28" cm="1">
        <f t="array" ref="BP48">SUMIFS(TableTrend[negative],TableTrend[month],"="&amp;$BM48,TableTrend[topic],"="&amp;INDEX($C$22:$C$28,$D$3))</f>
        <v>0</v>
      </c>
      <c r="BQ48" s="28" cm="1">
        <f t="array" ref="BQ48">SUMIFS(TableTrend[total],TableTrend[month],"="&amp;$BM48,TableTrend[topic],"="&amp;INDEX($C$22:$C$28,$D$3))</f>
        <v>1</v>
      </c>
      <c r="BR48" s="28" cm="1">
        <f t="array" ref="BR48">IF($BK$14,IFERROR(SUMIFS(TableTrend[rating_sum],TableTrend[month],"="&amp;$BM48,TableTrend[topic],"="&amp;INDEX($C$22:$C$28,$D$3)) / SUMIFS(TableTrend[rating_count],TableTrend[month],"="&amp;$BM48,TableTrend[topic],"="&amp;INDEX($C$22:$C$28,$D$3)),0),NA())</f>
        <v>5</v>
      </c>
      <c r="BS48" s="30">
        <f t="shared" si="15"/>
        <v>1</v>
      </c>
      <c r="BT48" s="30" t="str">
        <f t="shared" si="16"/>
        <v/>
      </c>
      <c r="BU48" s="30" t="str">
        <f t="shared" si="17"/>
        <v/>
      </c>
    </row>
    <row r="49" spans="11:73" x14ac:dyDescent="0.3">
      <c r="K49" s="7"/>
      <c r="X49" s="7"/>
      <c r="Z49" s="7"/>
      <c r="AA49" s="7"/>
      <c r="AH49" t="e">
        <f t="shared" si="5"/>
        <v>#NUM!</v>
      </c>
      <c r="AI49" t="e">
        <f t="shared" si="6"/>
        <v>#NUM!</v>
      </c>
      <c r="AJ49" t="e">
        <f t="shared" si="7"/>
        <v>#NUM!</v>
      </c>
      <c r="AK49" t="e">
        <f t="shared" si="8"/>
        <v>#NUM!</v>
      </c>
      <c r="AL49" t="e">
        <f t="shared" si="9"/>
        <v>#NUM!</v>
      </c>
      <c r="AM49" t="e">
        <f t="shared" si="10"/>
        <v>#NUM!</v>
      </c>
      <c r="BI49" s="22">
        <v>43502</v>
      </c>
      <c r="BL49" s="28">
        <v>5</v>
      </c>
      <c r="BM49" s="29">
        <f t="shared" si="14"/>
        <v>43586</v>
      </c>
      <c r="BN49" s="28" cm="1">
        <f t="array" ref="BN49">SUMIFS(TableTrend[positive],TableTrend[month],"="&amp;$BM49,TableTrend[topic],"="&amp;INDEX($C$22:$C$28,$D$3))</f>
        <v>0</v>
      </c>
      <c r="BO49" s="28" cm="1">
        <f t="array" ref="BO49">SUMIFS(TableTrend[neutral],TableTrend[month],"="&amp;$BM49,TableTrend[topic],"="&amp;INDEX($C$22:$C$28,$D$3))</f>
        <v>0</v>
      </c>
      <c r="BP49" s="28" cm="1">
        <f t="array" ref="BP49">SUMIFS(TableTrend[negative],TableTrend[month],"="&amp;$BM49,TableTrend[topic],"="&amp;INDEX($C$22:$C$28,$D$3))</f>
        <v>0</v>
      </c>
      <c r="BQ49" s="28" cm="1">
        <f t="array" ref="BQ49">SUMIFS(TableTrend[total],TableTrend[month],"="&amp;$BM49,TableTrend[topic],"="&amp;INDEX($C$22:$C$28,$D$3))</f>
        <v>0</v>
      </c>
      <c r="BR49" s="28" cm="1">
        <f t="array" ref="BR49">IF($BK$14,IFERROR(SUMIFS(TableTrend[rating_sum],TableTrend[month],"="&amp;$BM49,TableTrend[topic],"="&amp;INDEX($C$22:$C$28,$D$3)) / SUMIFS(TableTrend[rating_count],TableTrend[month],"="&amp;$BM49,TableTrend[topic],"="&amp;INDEX($C$22:$C$28,$D$3)),0),NA())</f>
        <v>0</v>
      </c>
      <c r="BS49" s="30" t="str">
        <f t="shared" si="15"/>
        <v/>
      </c>
      <c r="BT49" s="30" t="str">
        <f t="shared" si="16"/>
        <v/>
      </c>
      <c r="BU49" s="30" t="str">
        <f t="shared" si="17"/>
        <v/>
      </c>
    </row>
    <row r="50" spans="11:73" x14ac:dyDescent="0.3">
      <c r="K50" s="7"/>
      <c r="X50" s="7"/>
      <c r="Z50" s="7"/>
      <c r="AA50" s="7"/>
      <c r="AH50" t="e">
        <f t="shared" si="5"/>
        <v>#NUM!</v>
      </c>
      <c r="AI50" t="e">
        <f t="shared" si="6"/>
        <v>#NUM!</v>
      </c>
      <c r="AJ50" t="e">
        <f t="shared" si="7"/>
        <v>#NUM!</v>
      </c>
      <c r="AK50" t="e">
        <f t="shared" si="8"/>
        <v>#NUM!</v>
      </c>
      <c r="AL50" t="e">
        <f t="shared" si="9"/>
        <v>#NUM!</v>
      </c>
      <c r="AM50" t="e">
        <f t="shared" si="10"/>
        <v>#NUM!</v>
      </c>
      <c r="BI50" s="22">
        <v>43518</v>
      </c>
      <c r="BL50" s="28">
        <v>6</v>
      </c>
      <c r="BM50" s="29">
        <f t="shared" si="14"/>
        <v>43617</v>
      </c>
      <c r="BN50" s="28" cm="1">
        <f t="array" ref="BN50">SUMIFS(TableTrend[positive],TableTrend[month],"="&amp;$BM50,TableTrend[topic],"="&amp;INDEX($C$22:$C$28,$D$3))</f>
        <v>2</v>
      </c>
      <c r="BO50" s="28" cm="1">
        <f t="array" ref="BO50">SUMIFS(TableTrend[neutral],TableTrend[month],"="&amp;$BM50,TableTrend[topic],"="&amp;INDEX($C$22:$C$28,$D$3))</f>
        <v>0</v>
      </c>
      <c r="BP50" s="28" cm="1">
        <f t="array" ref="BP50">SUMIFS(TableTrend[negative],TableTrend[month],"="&amp;$BM50,TableTrend[topic],"="&amp;INDEX($C$22:$C$28,$D$3))</f>
        <v>0</v>
      </c>
      <c r="BQ50" s="28" cm="1">
        <f t="array" ref="BQ50">SUMIFS(TableTrend[total],TableTrend[month],"="&amp;$BM50,TableTrend[topic],"="&amp;INDEX($C$22:$C$28,$D$3))</f>
        <v>2</v>
      </c>
      <c r="BR50" s="28" cm="1">
        <f t="array" ref="BR50">IF($BK$14,IFERROR(SUMIFS(TableTrend[rating_sum],TableTrend[month],"="&amp;$BM50,TableTrend[topic],"="&amp;INDEX($C$22:$C$28,$D$3)) / SUMIFS(TableTrend[rating_count],TableTrend[month],"="&amp;$BM50,TableTrend[topic],"="&amp;INDEX($C$22:$C$28,$D$3)),0),NA())</f>
        <v>5</v>
      </c>
      <c r="BS50" s="30">
        <f t="shared" si="15"/>
        <v>1</v>
      </c>
      <c r="BT50" s="30" t="str">
        <f t="shared" si="16"/>
        <v/>
      </c>
      <c r="BU50" s="30" t="str">
        <f t="shared" si="17"/>
        <v/>
      </c>
    </row>
    <row r="51" spans="11:73" x14ac:dyDescent="0.3">
      <c r="K51" s="7"/>
      <c r="X51" s="7"/>
      <c r="Z51" s="7"/>
      <c r="AA51" s="7"/>
      <c r="AH51" t="e">
        <f t="shared" si="5"/>
        <v>#NUM!</v>
      </c>
      <c r="AI51" t="e">
        <f t="shared" si="6"/>
        <v>#NUM!</v>
      </c>
      <c r="AJ51" t="e">
        <f t="shared" si="7"/>
        <v>#NUM!</v>
      </c>
      <c r="AK51" t="e">
        <f t="shared" si="8"/>
        <v>#NUM!</v>
      </c>
      <c r="AL51" t="e">
        <f t="shared" si="9"/>
        <v>#NUM!</v>
      </c>
      <c r="AM51" t="e">
        <f t="shared" si="10"/>
        <v>#NUM!</v>
      </c>
      <c r="BI51" s="22">
        <v>43520</v>
      </c>
      <c r="BL51" s="28">
        <v>7</v>
      </c>
      <c r="BM51" s="29">
        <f t="shared" si="14"/>
        <v>43647</v>
      </c>
      <c r="BN51" s="28" cm="1">
        <f t="array" ref="BN51">SUMIFS(TableTrend[positive],TableTrend[month],"="&amp;$BM51,TableTrend[topic],"="&amp;INDEX($C$22:$C$28,$D$3))</f>
        <v>0</v>
      </c>
      <c r="BO51" s="28" cm="1">
        <f t="array" ref="BO51">SUMIFS(TableTrend[neutral],TableTrend[month],"="&amp;$BM51,TableTrend[topic],"="&amp;INDEX($C$22:$C$28,$D$3))</f>
        <v>0</v>
      </c>
      <c r="BP51" s="28" cm="1">
        <f t="array" ref="BP51">SUMIFS(TableTrend[negative],TableTrend[month],"="&amp;$BM51,TableTrend[topic],"="&amp;INDEX($C$22:$C$28,$D$3))</f>
        <v>0</v>
      </c>
      <c r="BQ51" s="28" cm="1">
        <f t="array" ref="BQ51">SUMIFS(TableTrend[total],TableTrend[month],"="&amp;$BM51,TableTrend[topic],"="&amp;INDEX($C$22:$C$28,$D$3))</f>
        <v>0</v>
      </c>
      <c r="BR51" s="28" cm="1">
        <f t="array" ref="BR51">IF($BK$14,IFERROR(SUMIFS(TableTrend[rating_sum],TableTrend[month],"="&amp;$BM51,TableTrend[topic],"="&amp;INDEX($C$22:$C$28,$D$3)) / SUMIFS(TableTrend[rating_count],TableTrend[month],"="&amp;$BM51,TableTrend[topic],"="&amp;INDEX($C$22:$C$28,$D$3)),0),NA())</f>
        <v>0</v>
      </c>
      <c r="BS51" s="30" t="str">
        <f t="shared" si="15"/>
        <v/>
      </c>
      <c r="BT51" s="30" t="str">
        <f t="shared" si="16"/>
        <v/>
      </c>
      <c r="BU51" s="30" t="str">
        <f t="shared" si="17"/>
        <v/>
      </c>
    </row>
    <row r="52" spans="11:73" x14ac:dyDescent="0.3">
      <c r="K52" s="7"/>
      <c r="X52" s="7"/>
      <c r="Y52"/>
      <c r="AH52" t="e">
        <f t="shared" si="5"/>
        <v>#NUM!</v>
      </c>
      <c r="AI52" t="e">
        <f t="shared" si="6"/>
        <v>#NUM!</v>
      </c>
      <c r="AJ52" t="e">
        <f t="shared" si="7"/>
        <v>#NUM!</v>
      </c>
      <c r="AK52" t="e">
        <f t="shared" si="8"/>
        <v>#NUM!</v>
      </c>
      <c r="AL52" t="e">
        <f t="shared" si="9"/>
        <v>#NUM!</v>
      </c>
      <c r="AM52" t="e">
        <f t="shared" si="10"/>
        <v>#NUM!</v>
      </c>
      <c r="BI52" s="22">
        <v>43522</v>
      </c>
      <c r="BL52" s="28">
        <v>8</v>
      </c>
      <c r="BM52" s="29">
        <f t="shared" si="14"/>
        <v>43678</v>
      </c>
      <c r="BN52" s="28" cm="1">
        <f t="array" ref="BN52">SUMIFS(TableTrend[positive],TableTrend[month],"="&amp;$BM52,TableTrend[topic],"="&amp;INDEX($C$22:$C$28,$D$3))</f>
        <v>0</v>
      </c>
      <c r="BO52" s="28" cm="1">
        <f t="array" ref="BO52">SUMIFS(TableTrend[neutral],TableTrend[month],"="&amp;$BM52,TableTrend[topic],"="&amp;INDEX($C$22:$C$28,$D$3))</f>
        <v>1</v>
      </c>
      <c r="BP52" s="28" cm="1">
        <f t="array" ref="BP52">SUMIFS(TableTrend[negative],TableTrend[month],"="&amp;$BM52,TableTrend[topic],"="&amp;INDEX($C$22:$C$28,$D$3))</f>
        <v>4</v>
      </c>
      <c r="BQ52" s="28" cm="1">
        <f t="array" ref="BQ52">SUMIFS(TableTrend[total],TableTrend[month],"="&amp;$BM52,TableTrend[topic],"="&amp;INDEX($C$22:$C$28,$D$3))</f>
        <v>5</v>
      </c>
      <c r="BR52" s="28" cm="1">
        <f t="array" ref="BR52">IF($BK$14,IFERROR(SUMIFS(TableTrend[rating_sum],TableTrend[month],"="&amp;$BM52,TableTrend[topic],"="&amp;INDEX($C$22:$C$28,$D$3)) / SUMIFS(TableTrend[rating_count],TableTrend[month],"="&amp;$BM52,TableTrend[topic],"="&amp;INDEX($C$22:$C$28,$D$3)),0),NA())</f>
        <v>2.8</v>
      </c>
      <c r="BS52" s="30" t="str">
        <f t="shared" si="15"/>
        <v/>
      </c>
      <c r="BT52" s="30">
        <f t="shared" si="16"/>
        <v>0.2</v>
      </c>
      <c r="BU52" s="30">
        <f t="shared" si="17"/>
        <v>0.8</v>
      </c>
    </row>
    <row r="53" spans="11:73" x14ac:dyDescent="0.3">
      <c r="K53" s="7"/>
      <c r="X53" s="7"/>
      <c r="Y53"/>
      <c r="AH53" t="e">
        <f t="shared" si="5"/>
        <v>#NUM!</v>
      </c>
      <c r="AI53" t="e">
        <f t="shared" si="6"/>
        <v>#NUM!</v>
      </c>
      <c r="AJ53" t="e">
        <f t="shared" si="7"/>
        <v>#NUM!</v>
      </c>
      <c r="AK53" t="e">
        <f t="shared" si="8"/>
        <v>#NUM!</v>
      </c>
      <c r="AL53" t="e">
        <f t="shared" si="9"/>
        <v>#NUM!</v>
      </c>
      <c r="AM53" t="e">
        <f t="shared" si="10"/>
        <v>#NUM!</v>
      </c>
      <c r="BI53" s="22">
        <v>43537</v>
      </c>
      <c r="BL53" s="28">
        <v>9</v>
      </c>
      <c r="BM53" s="29">
        <f t="shared" si="14"/>
        <v>43709</v>
      </c>
      <c r="BN53" s="28" cm="1">
        <f t="array" ref="BN53">SUMIFS(TableTrend[positive],TableTrend[month],"="&amp;$BM53,TableTrend[topic],"="&amp;INDEX($C$22:$C$28,$D$3))</f>
        <v>0</v>
      </c>
      <c r="BO53" s="28" cm="1">
        <f t="array" ref="BO53">SUMIFS(TableTrend[neutral],TableTrend[month],"="&amp;$BM53,TableTrend[topic],"="&amp;INDEX($C$22:$C$28,$D$3))</f>
        <v>0</v>
      </c>
      <c r="BP53" s="28" cm="1">
        <f t="array" ref="BP53">SUMIFS(TableTrend[negative],TableTrend[month],"="&amp;$BM53,TableTrend[topic],"="&amp;INDEX($C$22:$C$28,$D$3))</f>
        <v>0</v>
      </c>
      <c r="BQ53" s="28" cm="1">
        <f t="array" ref="BQ53">SUMIFS(TableTrend[total],TableTrend[month],"="&amp;$BM53,TableTrend[topic],"="&amp;INDEX($C$22:$C$28,$D$3))</f>
        <v>0</v>
      </c>
      <c r="BR53" s="28" cm="1">
        <f t="array" ref="BR53">IF($BK$14,IFERROR(SUMIFS(TableTrend[rating_sum],TableTrend[month],"="&amp;$BM53,TableTrend[topic],"="&amp;INDEX($C$22:$C$28,$D$3)) / SUMIFS(TableTrend[rating_count],TableTrend[month],"="&amp;$BM53,TableTrend[topic],"="&amp;INDEX($C$22:$C$28,$D$3)),0),NA())</f>
        <v>0</v>
      </c>
      <c r="BS53" s="30" t="str">
        <f t="shared" si="15"/>
        <v/>
      </c>
      <c r="BT53" s="30" t="str">
        <f t="shared" si="16"/>
        <v/>
      </c>
      <c r="BU53" s="30" t="str">
        <f t="shared" si="17"/>
        <v/>
      </c>
    </row>
    <row r="54" spans="11:73" x14ac:dyDescent="0.3">
      <c r="K54" s="7"/>
      <c r="X54" s="7"/>
      <c r="Y54"/>
      <c r="AH54" t="e">
        <f t="shared" si="5"/>
        <v>#NUM!</v>
      </c>
      <c r="AI54" t="e">
        <f t="shared" si="6"/>
        <v>#NUM!</v>
      </c>
      <c r="AJ54" t="e">
        <f t="shared" si="7"/>
        <v>#NUM!</v>
      </c>
      <c r="AK54" t="e">
        <f t="shared" si="8"/>
        <v>#NUM!</v>
      </c>
      <c r="AL54" t="e">
        <f t="shared" si="9"/>
        <v>#NUM!</v>
      </c>
      <c r="AM54" t="e">
        <f t="shared" si="10"/>
        <v>#NUM!</v>
      </c>
      <c r="BI54" s="22">
        <v>43540</v>
      </c>
      <c r="BL54" s="28">
        <v>10</v>
      </c>
      <c r="BM54" s="29">
        <f t="shared" si="14"/>
        <v>43739</v>
      </c>
      <c r="BN54" s="28" cm="1">
        <f t="array" ref="BN54">SUMIFS(TableTrend[positive],TableTrend[month],"="&amp;$BM54,TableTrend[topic],"="&amp;INDEX($C$22:$C$28,$D$3))</f>
        <v>2</v>
      </c>
      <c r="BO54" s="28" cm="1">
        <f t="array" ref="BO54">SUMIFS(TableTrend[neutral],TableTrend[month],"="&amp;$BM54,TableTrend[topic],"="&amp;INDEX($C$22:$C$28,$D$3))</f>
        <v>0</v>
      </c>
      <c r="BP54" s="28" cm="1">
        <f t="array" ref="BP54">SUMIFS(TableTrend[negative],TableTrend[month],"="&amp;$BM54,TableTrend[topic],"="&amp;INDEX($C$22:$C$28,$D$3))</f>
        <v>2</v>
      </c>
      <c r="BQ54" s="28" cm="1">
        <f t="array" ref="BQ54">SUMIFS(TableTrend[total],TableTrend[month],"="&amp;$BM54,TableTrend[topic],"="&amp;INDEX($C$22:$C$28,$D$3))</f>
        <v>4</v>
      </c>
      <c r="BR54" s="28" cm="1">
        <f t="array" ref="BR54">IF($BK$14,IFERROR(SUMIFS(TableTrend[rating_sum],TableTrend[month],"="&amp;$BM54,TableTrend[topic],"="&amp;INDEX($C$22:$C$28,$D$3)) / SUMIFS(TableTrend[rating_count],TableTrend[month],"="&amp;$BM54,TableTrend[topic],"="&amp;INDEX($C$22:$C$28,$D$3)),0),NA())</f>
        <v>4</v>
      </c>
      <c r="BS54" s="30">
        <f t="shared" si="15"/>
        <v>0.5</v>
      </c>
      <c r="BT54" s="30" t="str">
        <f t="shared" si="16"/>
        <v/>
      </c>
      <c r="BU54" s="30">
        <f t="shared" si="17"/>
        <v>0.5</v>
      </c>
    </row>
    <row r="55" spans="11:73" x14ac:dyDescent="0.3">
      <c r="K55" s="7"/>
      <c r="X55" s="7"/>
      <c r="Y55"/>
      <c r="AH55" t="e">
        <f t="shared" si="5"/>
        <v>#NUM!</v>
      </c>
      <c r="AI55" t="e">
        <f t="shared" si="6"/>
        <v>#NUM!</v>
      </c>
      <c r="AJ55" t="e">
        <f t="shared" si="7"/>
        <v>#NUM!</v>
      </c>
      <c r="AK55" t="e">
        <f t="shared" si="8"/>
        <v>#NUM!</v>
      </c>
      <c r="AL55" t="e">
        <f t="shared" si="9"/>
        <v>#NUM!</v>
      </c>
      <c r="AM55" t="e">
        <f t="shared" si="10"/>
        <v>#NUM!</v>
      </c>
      <c r="BI55" s="22">
        <v>43551</v>
      </c>
      <c r="BL55" s="28">
        <v>11</v>
      </c>
      <c r="BM55" s="29">
        <f t="shared" si="14"/>
        <v>43770</v>
      </c>
      <c r="BN55" s="28" cm="1">
        <f t="array" ref="BN55">SUMIFS(TableTrend[positive],TableTrend[month],"="&amp;$BM55,TableTrend[topic],"="&amp;INDEX($C$22:$C$28,$D$3))</f>
        <v>0</v>
      </c>
      <c r="BO55" s="28" cm="1">
        <f t="array" ref="BO55">SUMIFS(TableTrend[neutral],TableTrend[month],"="&amp;$BM55,TableTrend[topic],"="&amp;INDEX($C$22:$C$28,$D$3))</f>
        <v>0</v>
      </c>
      <c r="BP55" s="28" cm="1">
        <f t="array" ref="BP55">SUMIFS(TableTrend[negative],TableTrend[month],"="&amp;$BM55,TableTrend[topic],"="&amp;INDEX($C$22:$C$28,$D$3))</f>
        <v>1</v>
      </c>
      <c r="BQ55" s="28" cm="1">
        <f t="array" ref="BQ55">SUMIFS(TableTrend[total],TableTrend[month],"="&amp;$BM55,TableTrend[topic],"="&amp;INDEX($C$22:$C$28,$D$3))</f>
        <v>1</v>
      </c>
      <c r="BR55" s="28" cm="1">
        <f t="array" ref="BR55">IF($BK$14,IFERROR(SUMIFS(TableTrend[rating_sum],TableTrend[month],"="&amp;$BM55,TableTrend[topic],"="&amp;INDEX($C$22:$C$28,$D$3)) / SUMIFS(TableTrend[rating_count],TableTrend[month],"="&amp;$BM55,TableTrend[topic],"="&amp;INDEX($C$22:$C$28,$D$3)),0),NA())</f>
        <v>1</v>
      </c>
      <c r="BS55" s="30" t="str">
        <f t="shared" si="15"/>
        <v/>
      </c>
      <c r="BT55" s="30" t="str">
        <f t="shared" si="16"/>
        <v/>
      </c>
      <c r="BU55" s="30">
        <f t="shared" si="17"/>
        <v>1</v>
      </c>
    </row>
    <row r="56" spans="11:73" x14ac:dyDescent="0.3">
      <c r="K56" s="7"/>
      <c r="X56" s="7"/>
      <c r="Y56"/>
      <c r="AH56" t="e">
        <f t="shared" si="5"/>
        <v>#NUM!</v>
      </c>
      <c r="AI56" t="e">
        <f t="shared" si="6"/>
        <v>#NUM!</v>
      </c>
      <c r="AJ56" t="e">
        <f t="shared" si="7"/>
        <v>#NUM!</v>
      </c>
      <c r="AK56" t="e">
        <f t="shared" si="8"/>
        <v>#NUM!</v>
      </c>
      <c r="AL56" t="e">
        <f t="shared" si="9"/>
        <v>#NUM!</v>
      </c>
      <c r="AM56" t="e">
        <f t="shared" si="10"/>
        <v>#NUM!</v>
      </c>
      <c r="BI56" s="22">
        <v>43557</v>
      </c>
      <c r="BL56" s="28">
        <v>12</v>
      </c>
      <c r="BM56" s="29">
        <f t="shared" si="14"/>
        <v>43800</v>
      </c>
      <c r="BN56" s="28" cm="1">
        <f t="array" ref="BN56">SUMIFS(TableTrend[positive],TableTrend[month],"="&amp;$BM56,TableTrend[topic],"="&amp;INDEX($C$22:$C$28,$D$3))</f>
        <v>0</v>
      </c>
      <c r="BO56" s="28" cm="1">
        <f t="array" ref="BO56">SUMIFS(TableTrend[neutral],TableTrend[month],"="&amp;$BM56,TableTrend[topic],"="&amp;INDEX($C$22:$C$28,$D$3))</f>
        <v>0</v>
      </c>
      <c r="BP56" s="28" cm="1">
        <f t="array" ref="BP56">SUMIFS(TableTrend[negative],TableTrend[month],"="&amp;$BM56,TableTrend[topic],"="&amp;INDEX($C$22:$C$28,$D$3))</f>
        <v>2</v>
      </c>
      <c r="BQ56" s="28" cm="1">
        <f t="array" ref="BQ56">SUMIFS(TableTrend[total],TableTrend[month],"="&amp;$BM56,TableTrend[topic],"="&amp;INDEX($C$22:$C$28,$D$3))</f>
        <v>2</v>
      </c>
      <c r="BR56" s="28" cm="1">
        <f t="array" ref="BR56">IF($BK$14,IFERROR(SUMIFS(TableTrend[rating_sum],TableTrend[month],"="&amp;$BM56,TableTrend[topic],"="&amp;INDEX($C$22:$C$28,$D$3)) / SUMIFS(TableTrend[rating_count],TableTrend[month],"="&amp;$BM56,TableTrend[topic],"="&amp;INDEX($C$22:$C$28,$D$3)),0),NA())</f>
        <v>2.5</v>
      </c>
      <c r="BS56" s="30" t="str">
        <f t="shared" si="15"/>
        <v/>
      </c>
      <c r="BT56" s="30" t="str">
        <f t="shared" si="16"/>
        <v/>
      </c>
      <c r="BU56" s="30">
        <f t="shared" si="17"/>
        <v>1</v>
      </c>
    </row>
    <row r="57" spans="11:73" x14ac:dyDescent="0.3">
      <c r="K57" s="7"/>
      <c r="X57" s="7"/>
      <c r="Y57"/>
      <c r="AH57" t="e">
        <f t="shared" si="5"/>
        <v>#NUM!</v>
      </c>
      <c r="AI57" t="e">
        <f t="shared" si="6"/>
        <v>#NUM!</v>
      </c>
      <c r="AJ57" t="e">
        <f t="shared" si="7"/>
        <v>#NUM!</v>
      </c>
      <c r="AK57" t="e">
        <f t="shared" si="8"/>
        <v>#NUM!</v>
      </c>
      <c r="AL57" t="e">
        <f t="shared" si="9"/>
        <v>#NUM!</v>
      </c>
      <c r="AM57" t="e">
        <f t="shared" si="10"/>
        <v>#NUM!</v>
      </c>
      <c r="BI57" s="22">
        <v>43558</v>
      </c>
    </row>
    <row r="58" spans="11:73" x14ac:dyDescent="0.3">
      <c r="K58" s="7"/>
      <c r="X58" s="7"/>
      <c r="Y58"/>
      <c r="AH58" t="e">
        <f t="shared" si="5"/>
        <v>#NUM!</v>
      </c>
      <c r="AI58" t="e">
        <f t="shared" si="6"/>
        <v>#NUM!</v>
      </c>
      <c r="AJ58" t="e">
        <f t="shared" si="7"/>
        <v>#NUM!</v>
      </c>
      <c r="AK58" t="e">
        <f t="shared" si="8"/>
        <v>#NUM!</v>
      </c>
      <c r="AL58" t="e">
        <f t="shared" si="9"/>
        <v>#NUM!</v>
      </c>
      <c r="AM58" t="e">
        <f t="shared" si="10"/>
        <v>#NUM!</v>
      </c>
      <c r="BI58" s="22">
        <v>43600</v>
      </c>
    </row>
    <row r="59" spans="11:73" x14ac:dyDescent="0.3">
      <c r="K59" s="7"/>
      <c r="X59" s="7"/>
      <c r="Y59"/>
      <c r="AH59" t="e">
        <f t="shared" si="5"/>
        <v>#NUM!</v>
      </c>
      <c r="AI59" t="e">
        <f t="shared" si="6"/>
        <v>#NUM!</v>
      </c>
      <c r="AJ59" t="e">
        <f t="shared" si="7"/>
        <v>#NUM!</v>
      </c>
      <c r="AK59" t="e">
        <f t="shared" si="8"/>
        <v>#NUM!</v>
      </c>
      <c r="AL59" t="e">
        <f t="shared" si="9"/>
        <v>#NUM!</v>
      </c>
      <c r="AM59" t="e">
        <f t="shared" si="10"/>
        <v>#NUM!</v>
      </c>
      <c r="BI59" s="22">
        <v>43601</v>
      </c>
    </row>
    <row r="60" spans="11:73" x14ac:dyDescent="0.3">
      <c r="K60" s="7"/>
      <c r="X60" s="7"/>
      <c r="Y60"/>
      <c r="AH60" t="e">
        <f t="shared" si="5"/>
        <v>#NUM!</v>
      </c>
      <c r="AI60" t="e">
        <f t="shared" si="6"/>
        <v>#NUM!</v>
      </c>
      <c r="AJ60" t="e">
        <f t="shared" si="7"/>
        <v>#NUM!</v>
      </c>
      <c r="AK60" t="e">
        <f t="shared" si="8"/>
        <v>#NUM!</v>
      </c>
      <c r="AL60" t="e">
        <f t="shared" si="9"/>
        <v>#NUM!</v>
      </c>
      <c r="AM60" t="e">
        <f t="shared" si="10"/>
        <v>#NUM!</v>
      </c>
      <c r="BI60" s="22">
        <v>43602</v>
      </c>
      <c r="BL60" s="28"/>
      <c r="BM60" s="28" t="s">
        <v>53</v>
      </c>
      <c r="BN60" s="28" t="s">
        <v>23</v>
      </c>
      <c r="BO60" s="28" t="s">
        <v>22</v>
      </c>
      <c r="BP60" s="28" t="s">
        <v>21</v>
      </c>
      <c r="BQ60" s="28" t="s">
        <v>24</v>
      </c>
      <c r="BR60" s="28" t="s">
        <v>3</v>
      </c>
      <c r="BS60" s="28" t="s">
        <v>39</v>
      </c>
      <c r="BT60" s="28" t="s">
        <v>40</v>
      </c>
      <c r="BU60" s="28" t="s">
        <v>41</v>
      </c>
    </row>
    <row r="61" spans="11:73" x14ac:dyDescent="0.3">
      <c r="K61" s="7"/>
      <c r="X61" s="7"/>
      <c r="Y61"/>
      <c r="AH61" t="e">
        <f t="shared" si="5"/>
        <v>#NUM!</v>
      </c>
      <c r="AI61" t="e">
        <f t="shared" si="6"/>
        <v>#NUM!</v>
      </c>
      <c r="AJ61" t="e">
        <f t="shared" si="7"/>
        <v>#NUM!</v>
      </c>
      <c r="AK61" t="e">
        <f t="shared" si="8"/>
        <v>#NUM!</v>
      </c>
      <c r="AL61" t="e">
        <f t="shared" si="9"/>
        <v>#NUM!</v>
      </c>
      <c r="AM61" t="e">
        <f t="shared" si="10"/>
        <v>#NUM!</v>
      </c>
      <c r="BI61" s="22">
        <v>43621</v>
      </c>
      <c r="BL61" s="28">
        <v>1</v>
      </c>
      <c r="BM61" s="29">
        <f>DATE(YEAR($D$8)-BL61,1,1)</f>
        <v>43101</v>
      </c>
      <c r="BN61" s="28" cm="1">
        <f t="array" ref="BN61">SUMIFS(TableTrend[positive],TableTrend[year],"="&amp;$BM61,TableTrend[topic],"="&amp;INDEX($C$22:$C$28,$D$3))</f>
        <v>1</v>
      </c>
      <c r="BO61" s="28" cm="1">
        <f t="array" ref="BO61">SUMIFS(TableTrend[neutral],TableTrend[year],"="&amp;$BM61,TableTrend[topic],"="&amp;INDEX($C$22:$C$28,$D$3))</f>
        <v>0</v>
      </c>
      <c r="BP61" s="28" cm="1">
        <f t="array" ref="BP61">SUMIFS(TableTrend[negative],TableTrend[year],"="&amp;$BM61,TableTrend[topic],"="&amp;INDEX($C$22:$C$28,$D$3))</f>
        <v>6</v>
      </c>
      <c r="BQ61" s="28" cm="1">
        <f t="array" ref="BQ61">SUMIFS(TableTrend[total],TableTrend[year],"="&amp;$BM61,TableTrend[topic],"="&amp;INDEX($C$22:$C$28,$D$3))</f>
        <v>7</v>
      </c>
      <c r="BR61" s="28" cm="1">
        <f t="array" ref="BR61">IF($BK$14,IFERROR(SUMIFS(TableTrend[rating_sum],TableTrend[year],"="&amp;$BM61,TableTrend[topic],"="&amp;INDEX($C$22:$C$28,$D$3)) / SUMIFS(TableTrend[rating_count],TableTrend[year],"="&amp;$BM61,TableTrend[topic],"="&amp;INDEX($C$22:$C$28,$D$3)),0),NA())</f>
        <v>1.8571428571428572</v>
      </c>
      <c r="BS61" s="30">
        <f>_xlfn.IFNA(IF($BN61=0,"",$BN61/(SUM($BQ$61))),"")</f>
        <v>0.14285714285714285</v>
      </c>
      <c r="BT61" s="30" t="str">
        <f>_xlfn.IFNA(IF($BO61=0,"",$BO61/(SUM($BQ$61))),"")</f>
        <v/>
      </c>
      <c r="BU61" s="30">
        <f>_xlfn.IFNA(IF($BP61=0,"",$BP61/(SUM($BQ$61))),"")</f>
        <v>0.8571428571428571</v>
      </c>
    </row>
    <row r="62" spans="11:73" x14ac:dyDescent="0.3">
      <c r="K62" s="7"/>
      <c r="X62" s="7"/>
      <c r="Y62"/>
      <c r="AH62" t="e">
        <f t="shared" si="5"/>
        <v>#NUM!</v>
      </c>
      <c r="AI62" t="e">
        <f t="shared" si="6"/>
        <v>#NUM!</v>
      </c>
      <c r="AJ62" t="e">
        <f t="shared" si="7"/>
        <v>#NUM!</v>
      </c>
      <c r="AK62" t="e">
        <f t="shared" si="8"/>
        <v>#NUM!</v>
      </c>
      <c r="AL62" t="e">
        <f t="shared" si="9"/>
        <v>#NUM!</v>
      </c>
      <c r="AM62" t="e">
        <f t="shared" si="10"/>
        <v>#NUM!</v>
      </c>
      <c r="BI62" s="22">
        <v>43629</v>
      </c>
      <c r="BL62" s="28">
        <v>2</v>
      </c>
      <c r="BM62" s="29">
        <f>DATE(YEAR($D$8),1,1)</f>
        <v>43466</v>
      </c>
      <c r="BN62" s="28" cm="1">
        <f t="array" ref="BN62">SUMIFS(TableTrend[positive],TableTrend[year],"="&amp;$BM62,TableTrend[topic],"="&amp;INDEX($C$22:$C$28,$D$3))</f>
        <v>10</v>
      </c>
      <c r="BO62" s="28" cm="1">
        <f t="array" ref="BO62">SUMIFS(TableTrend[neutral],TableTrend[year],"="&amp;$BM62,TableTrend[topic],"="&amp;INDEX($C$22:$C$28,$D$3))</f>
        <v>1</v>
      </c>
      <c r="BP62" s="28" cm="1">
        <f t="array" ref="BP62">SUMIFS(TableTrend[negative],TableTrend[year],"="&amp;$BM62,TableTrend[topic],"="&amp;INDEX($C$22:$C$28,$D$3))</f>
        <v>14</v>
      </c>
      <c r="BQ62" s="28" cm="1">
        <f t="array" ref="BQ62">SUMIFS(TableTrend[total],TableTrend[year],"="&amp;$BM62,TableTrend[topic],"="&amp;INDEX($C$22:$C$28,$D$3))</f>
        <v>25</v>
      </c>
      <c r="BR62" s="28" cm="1">
        <f t="array" ref="BR62">IF($BK$14,IFERROR(SUMIFS(TableTrend[rating_sum],TableTrend[year],"="&amp;$BM62,TableTrend[topic],"="&amp;INDEX($C$22:$C$28,$D$3)) / SUMIFS(TableTrend[rating_count],TableTrend[year],"="&amp;$BM62,TableTrend[topic],"="&amp;INDEX($C$22:$C$28,$D$3)),0),NA())</f>
        <v>3.48</v>
      </c>
      <c r="BS62" s="30">
        <f>_xlfn.IFNA(IF($BN62=0,"",$BN62/(SUM($BQ$61))),"")</f>
        <v>1.4285714285714286</v>
      </c>
      <c r="BT62" s="30">
        <f>_xlfn.IFNA(IF($BO62=0,"",$BO62/(SUM($BQ$61))),"")</f>
        <v>0.14285714285714285</v>
      </c>
      <c r="BU62" s="30">
        <f>_xlfn.IFNA(IF($BP62=0,"",$BP62/(SUM($BQ$62))),"")</f>
        <v>0.56000000000000005</v>
      </c>
    </row>
    <row r="63" spans="11:73" x14ac:dyDescent="0.3">
      <c r="K63" s="7"/>
      <c r="X63" s="7"/>
      <c r="Y63"/>
      <c r="AH63" t="e">
        <f t="shared" si="5"/>
        <v>#NUM!</v>
      </c>
      <c r="AI63" t="e">
        <f t="shared" si="6"/>
        <v>#NUM!</v>
      </c>
      <c r="AJ63" t="e">
        <f t="shared" si="7"/>
        <v>#NUM!</v>
      </c>
      <c r="AK63" t="e">
        <f t="shared" si="8"/>
        <v>#NUM!</v>
      </c>
      <c r="AL63" t="e">
        <f t="shared" si="9"/>
        <v>#NUM!</v>
      </c>
      <c r="AM63" t="e">
        <f t="shared" si="10"/>
        <v>#NUM!</v>
      </c>
      <c r="BI63" s="22">
        <v>43638</v>
      </c>
    </row>
    <row r="64" spans="11:73" x14ac:dyDescent="0.3">
      <c r="K64" s="7"/>
      <c r="X64" s="7"/>
      <c r="Y64"/>
      <c r="AH64" t="e">
        <f t="shared" si="5"/>
        <v>#NUM!</v>
      </c>
      <c r="AI64" t="e">
        <f t="shared" si="6"/>
        <v>#NUM!</v>
      </c>
      <c r="AJ64" t="e">
        <f t="shared" si="7"/>
        <v>#NUM!</v>
      </c>
      <c r="AK64" t="e">
        <f t="shared" si="8"/>
        <v>#NUM!</v>
      </c>
      <c r="AL64" t="e">
        <f t="shared" si="9"/>
        <v>#NUM!</v>
      </c>
      <c r="AM64" t="e">
        <f t="shared" si="10"/>
        <v>#NUM!</v>
      </c>
      <c r="BI64" s="22">
        <v>43679</v>
      </c>
    </row>
    <row r="65" spans="11:74" x14ac:dyDescent="0.3">
      <c r="K65" s="7"/>
      <c r="X65" s="7"/>
      <c r="Y65"/>
      <c r="AH65" t="e">
        <f t="shared" si="5"/>
        <v>#NUM!</v>
      </c>
      <c r="AI65" t="e">
        <f t="shared" si="6"/>
        <v>#NUM!</v>
      </c>
      <c r="AJ65" t="e">
        <f t="shared" si="7"/>
        <v>#NUM!</v>
      </c>
      <c r="AK65" t="e">
        <f t="shared" si="8"/>
        <v>#NUM!</v>
      </c>
      <c r="AL65" t="e">
        <f t="shared" si="9"/>
        <v>#NUM!</v>
      </c>
      <c r="AM65" t="e">
        <f t="shared" si="10"/>
        <v>#NUM!</v>
      </c>
      <c r="BI65" s="22">
        <v>43688</v>
      </c>
    </row>
    <row r="66" spans="11:74" x14ac:dyDescent="0.3">
      <c r="K66" s="7"/>
      <c r="X66" s="7"/>
      <c r="Y66"/>
      <c r="AH66" t="e">
        <f t="shared" si="5"/>
        <v>#NUM!</v>
      </c>
      <c r="AI66" t="e">
        <f t="shared" si="6"/>
        <v>#NUM!</v>
      </c>
      <c r="AJ66" t="e">
        <f t="shared" si="7"/>
        <v>#NUM!</v>
      </c>
      <c r="AK66" t="e">
        <f t="shared" si="8"/>
        <v>#NUM!</v>
      </c>
      <c r="AL66" t="e">
        <f t="shared" si="9"/>
        <v>#NUM!</v>
      </c>
      <c r="AM66" t="e">
        <f t="shared" si="10"/>
        <v>#NUM!</v>
      </c>
      <c r="BI66" s="22">
        <v>43689</v>
      </c>
      <c r="BL66" s="24" t="s">
        <v>54</v>
      </c>
      <c r="BM66" s="24"/>
      <c r="BN66" s="24"/>
      <c r="BO66" s="24"/>
      <c r="BP66" s="24"/>
      <c r="BQ66" s="24"/>
    </row>
    <row r="67" spans="11:74" x14ac:dyDescent="0.3">
      <c r="K67" s="7"/>
      <c r="X67" s="7"/>
      <c r="Y67"/>
      <c r="AH67" t="e">
        <f t="shared" si="5"/>
        <v>#NUM!</v>
      </c>
      <c r="AI67" t="e">
        <f t="shared" si="6"/>
        <v>#NUM!</v>
      </c>
      <c r="AJ67" t="e">
        <f t="shared" si="7"/>
        <v>#NUM!</v>
      </c>
      <c r="AK67" t="e">
        <f t="shared" si="8"/>
        <v>#NUM!</v>
      </c>
      <c r="AL67" t="e">
        <f t="shared" si="9"/>
        <v>#NUM!</v>
      </c>
      <c r="AM67" t="e">
        <f t="shared" si="10"/>
        <v>#NUM!</v>
      </c>
      <c r="BI67" s="22">
        <v>43703</v>
      </c>
      <c r="BL67" s="24" t="s">
        <v>0</v>
      </c>
      <c r="BM67" s="24" t="s">
        <v>23</v>
      </c>
      <c r="BN67" s="24" t="s">
        <v>22</v>
      </c>
      <c r="BO67" s="24" t="s">
        <v>21</v>
      </c>
      <c r="BP67" s="24" t="s">
        <v>24</v>
      </c>
      <c r="BQ67" s="24" t="str">
        <f>CHOOSE($D$11,"total sentiment","rating")</f>
        <v>total sentiment</v>
      </c>
      <c r="BR67" s="24" t="s">
        <v>57</v>
      </c>
      <c r="BS67" s="24" t="s">
        <v>65</v>
      </c>
      <c r="BT67" s="24" t="s">
        <v>66</v>
      </c>
      <c r="BU67" s="24" t="s">
        <v>67</v>
      </c>
      <c r="BV67" s="24" t="s">
        <v>38</v>
      </c>
    </row>
    <row r="68" spans="11:74" x14ac:dyDescent="0.3">
      <c r="X68" s="7"/>
      <c r="Y68"/>
      <c r="AH68" t="e">
        <f t="shared" si="5"/>
        <v>#NUM!</v>
      </c>
      <c r="AI68" t="e">
        <f t="shared" si="6"/>
        <v>#NUM!</v>
      </c>
      <c r="AJ68" t="e">
        <f t="shared" si="7"/>
        <v>#NUM!</v>
      </c>
      <c r="AK68" t="e">
        <f t="shared" si="8"/>
        <v>#NUM!</v>
      </c>
      <c r="AL68" t="e">
        <f t="shared" si="9"/>
        <v>#NUM!</v>
      </c>
      <c r="AM68" t="e">
        <f t="shared" si="10"/>
        <v>#NUM!</v>
      </c>
      <c r="BI68" s="22">
        <v>43704</v>
      </c>
      <c r="BL68" s="25" cm="1">
        <f t="array" ref="BL68:BL79">CHOOSE($D$10,$BM$7:$BM$37,$BM$45:$BM$56,$BM$61:$BM$62)</f>
        <v>43466</v>
      </c>
      <c r="BM68" s="24" cm="1">
        <f t="array" ref="BM68:BM79">CHOOSE($D$10,$BN$7:$BN$37,$BN$45:$BN$56,$BN$61:$BN$62)</f>
        <v>0</v>
      </c>
      <c r="BN68" s="24" cm="1">
        <f t="array" ref="BN68:BN79">CHOOSE($D$10,$BO$7:$BO$37,$BO$45:$BO$56,$BO$61:$BO$62)</f>
        <v>0</v>
      </c>
      <c r="BO68" s="24" cm="1">
        <f t="array" ref="BO68:BO79">CHOOSE($D$10,$BP$7:$BP$37,$BP$45:$BP$56,$BP$61:$BP$62)</f>
        <v>1</v>
      </c>
      <c r="BP68" s="24" cm="1">
        <f t="array" ref="BP68:BP79">IF(CHOOSE($D$10,$BQ$7:$BQ$37,$BQ$45:$BQ$56,$BQ$61:$BQ$62)&lt;&gt;0,CHOOSE($D$10,$BQ$7:$BQ$37,$BQ$45:$BQ$56,$BQ$61:$BQ$62),"")</f>
        <v>1</v>
      </c>
      <c r="BQ68" s="24" cm="1">
        <f t="array" ref="BQ68:BQ79">CHOOSE($D$11,CHOOSE($D$10,$BQ$7:$BQ$37,$BQ$45:$BQ$56,$BQ$61:$BQ$62),ROUND(CHOOSE($D$10,$BR$7:$BR$37,$BR$45:$BR$56,$BR$61:$BR$62),1))</f>
        <v>1</v>
      </c>
      <c r="BR68" s="24" cm="1">
        <f t="array" ref="BR68:BR79">IF(CHOOSE($D$11,CHOOSE($D$10,$BQ$7:$BQ$37,$BQ$45:$BQ$56,$BQ$61:$BQ$62),CHOOSE($D$10,$BR$7:$BR$37,$BR$45:$BR$56,$BR$61:$BR$62))=0,"",CHOOSE($D$11,CHOOSE($D$10,$BQ$7:$BQ$37,$BQ$45:$BQ$56,$BQ$61:$BQ$62),ROUND(CHOOSE($D$10,$BR$7:$BR$37,$BR$45:$BR$56,$BR$61:$BR$62),1)))</f>
        <v>1</v>
      </c>
      <c r="BS68" s="31" t="str" cm="1">
        <f t="array" ref="BS68:BS79">CHOOSE($D$10,$BS$7:$BS$37,$BS$45:$BS$56,$BS$61:$BS$62)</f>
        <v/>
      </c>
      <c r="BT68" s="31" t="str" cm="1">
        <f t="array" ref="BT68:BT79">CHOOSE($D$10,$BT$7:$BT$37,$BT$45:$BT$56,$BT$61:$BT$62)</f>
        <v/>
      </c>
      <c r="BU68" s="31" cm="1">
        <f t="array" ref="BU68:BU79">CHOOSE($D$10,$BU$7:$BU$37,$BU$45:$BU$56,$BU$61:$BU$62)</f>
        <v>1</v>
      </c>
      <c r="BV68" s="31" t="e">
        <f>NA()</f>
        <v>#N/A</v>
      </c>
    </row>
    <row r="69" spans="11:74" x14ac:dyDescent="0.3">
      <c r="X69" s="7"/>
      <c r="Y69"/>
      <c r="AH69" t="e">
        <f t="shared" si="5"/>
        <v>#NUM!</v>
      </c>
      <c r="AI69" t="e">
        <f t="shared" si="6"/>
        <v>#NUM!</v>
      </c>
      <c r="AJ69" t="e">
        <f t="shared" si="7"/>
        <v>#NUM!</v>
      </c>
      <c r="AK69" t="e">
        <f t="shared" si="8"/>
        <v>#NUM!</v>
      </c>
      <c r="AL69" t="e">
        <f t="shared" si="9"/>
        <v>#NUM!</v>
      </c>
      <c r="AM69" t="e">
        <f t="shared" si="10"/>
        <v>#NUM!</v>
      </c>
      <c r="BI69" s="22">
        <v>43705</v>
      </c>
      <c r="BL69" s="25">
        <v>43497</v>
      </c>
      <c r="BM69" s="24">
        <v>3</v>
      </c>
      <c r="BN69" s="24">
        <v>0</v>
      </c>
      <c r="BO69" s="24">
        <v>3</v>
      </c>
      <c r="BP69" s="24">
        <v>6</v>
      </c>
      <c r="BQ69" s="24">
        <v>6</v>
      </c>
      <c r="BR69" s="24">
        <v>6</v>
      </c>
      <c r="BS69" s="31">
        <v>0.5</v>
      </c>
      <c r="BT69" s="31" t="str">
        <v/>
      </c>
      <c r="BU69" s="31">
        <v>0.5</v>
      </c>
      <c r="BV69" s="31" t="e">
        <f>NA()</f>
        <v>#N/A</v>
      </c>
    </row>
    <row r="70" spans="11:74" x14ac:dyDescent="0.3">
      <c r="X70" s="7"/>
      <c r="Y70"/>
      <c r="AH70" t="e">
        <f t="shared" si="5"/>
        <v>#NUM!</v>
      </c>
      <c r="AI70" t="e">
        <f t="shared" si="6"/>
        <v>#NUM!</v>
      </c>
      <c r="AJ70" t="e">
        <f t="shared" si="7"/>
        <v>#NUM!</v>
      </c>
      <c r="AK70" t="e">
        <f t="shared" si="8"/>
        <v>#NUM!</v>
      </c>
      <c r="AL70" t="e">
        <f t="shared" si="9"/>
        <v>#NUM!</v>
      </c>
      <c r="AM70" t="e">
        <f t="shared" si="10"/>
        <v>#NUM!</v>
      </c>
      <c r="BI70" s="22">
        <v>43746</v>
      </c>
      <c r="BL70" s="25">
        <v>43525</v>
      </c>
      <c r="BM70" s="24">
        <v>2</v>
      </c>
      <c r="BN70" s="24">
        <v>0</v>
      </c>
      <c r="BO70" s="24">
        <v>1</v>
      </c>
      <c r="BP70" s="24">
        <v>3</v>
      </c>
      <c r="BQ70" s="24">
        <v>3</v>
      </c>
      <c r="BR70" s="24">
        <v>3</v>
      </c>
      <c r="BS70" s="31">
        <v>0.66666666666666663</v>
      </c>
      <c r="BT70" s="31" t="str">
        <v/>
      </c>
      <c r="BU70" s="31">
        <v>0.33333333333333331</v>
      </c>
      <c r="BV70" s="31" t="e">
        <f>NA()</f>
        <v>#N/A</v>
      </c>
    </row>
    <row r="71" spans="11:74" x14ac:dyDescent="0.3">
      <c r="X71" s="7"/>
      <c r="Y71"/>
      <c r="AH71" t="e">
        <f t="shared" si="5"/>
        <v>#NUM!</v>
      </c>
      <c r="AI71" t="e">
        <f t="shared" si="6"/>
        <v>#NUM!</v>
      </c>
      <c r="AJ71" t="e">
        <f t="shared" si="7"/>
        <v>#NUM!</v>
      </c>
      <c r="AK71" t="e">
        <f t="shared" si="8"/>
        <v>#NUM!</v>
      </c>
      <c r="AL71" t="e">
        <f t="shared" si="9"/>
        <v>#NUM!</v>
      </c>
      <c r="AM71" t="e">
        <f t="shared" si="10"/>
        <v>#NUM!</v>
      </c>
      <c r="BI71" s="22">
        <v>43751</v>
      </c>
      <c r="BL71" s="25">
        <v>43556</v>
      </c>
      <c r="BM71" s="24">
        <v>1</v>
      </c>
      <c r="BN71" s="24">
        <v>0</v>
      </c>
      <c r="BO71" s="24">
        <v>0</v>
      </c>
      <c r="BP71" s="24">
        <v>1</v>
      </c>
      <c r="BQ71" s="24">
        <v>1</v>
      </c>
      <c r="BR71" s="24">
        <v>1</v>
      </c>
      <c r="BS71" s="31">
        <v>1</v>
      </c>
      <c r="BT71" s="31" t="str">
        <v/>
      </c>
      <c r="BU71" s="31" t="str">
        <v/>
      </c>
      <c r="BV71" s="31" t="e">
        <f>NA()</f>
        <v>#N/A</v>
      </c>
    </row>
    <row r="72" spans="11:74" x14ac:dyDescent="0.3">
      <c r="X72" s="7"/>
      <c r="Y72"/>
      <c r="AH72" t="e">
        <f t="shared" si="5"/>
        <v>#NUM!</v>
      </c>
      <c r="AI72" t="e">
        <f t="shared" si="6"/>
        <v>#NUM!</v>
      </c>
      <c r="AJ72" t="e">
        <f t="shared" si="7"/>
        <v>#NUM!</v>
      </c>
      <c r="AK72" t="e">
        <f t="shared" si="8"/>
        <v>#NUM!</v>
      </c>
      <c r="AL72" t="e">
        <f t="shared" si="9"/>
        <v>#NUM!</v>
      </c>
      <c r="AM72" t="e">
        <f t="shared" si="10"/>
        <v>#NUM!</v>
      </c>
      <c r="BI72" s="22">
        <v>43762</v>
      </c>
      <c r="BL72" s="25">
        <v>43586</v>
      </c>
      <c r="BM72" s="24">
        <v>0</v>
      </c>
      <c r="BN72" s="24">
        <v>0</v>
      </c>
      <c r="BO72" s="24">
        <v>0</v>
      </c>
      <c r="BP72" s="24" t="str">
        <v/>
      </c>
      <c r="BQ72" s="24">
        <v>0</v>
      </c>
      <c r="BR72" s="24" t="str">
        <v/>
      </c>
      <c r="BS72" s="31" t="str">
        <v/>
      </c>
      <c r="BT72" s="31" t="str">
        <v/>
      </c>
      <c r="BU72" s="31" t="str">
        <v/>
      </c>
      <c r="BV72" s="31" t="e">
        <f>NA()</f>
        <v>#N/A</v>
      </c>
    </row>
    <row r="73" spans="11:74" x14ac:dyDescent="0.3">
      <c r="X73" s="7"/>
      <c r="Y73"/>
      <c r="AH73" t="e">
        <f t="shared" ref="AH73:AH77" si="18">LARGE($AF$8:$AF$1048505,ROW()-ROW($AH$7))</f>
        <v>#NUM!</v>
      </c>
      <c r="AI73" t="e">
        <f t="shared" ref="AI73:AI77" si="19">INDEX($AA$8:$AA$1048505,MATCH(AH73,$AF$8:$AF$1048505,0))</f>
        <v>#NUM!</v>
      </c>
      <c r="AJ73" t="e">
        <f t="shared" ref="AJ73:AJ77" si="20">INDEX($AB$8:$AB$1048505,MATCH(AH73,$AF$8:$AF$1048505,0))</f>
        <v>#NUM!</v>
      </c>
      <c r="AK73" t="e">
        <f t="shared" ref="AK73:AK77" si="21">INDEX($AC$8:$AC$1048505,MATCH(AH73,$AF$8:$AF$1048505,0))</f>
        <v>#NUM!</v>
      </c>
      <c r="AL73" t="e">
        <f t="shared" ref="AL73:AL77" si="22">INDEX($AD$8:$AD$1048505,MATCH(AH73,$AF$8:$AF$1048505,0))</f>
        <v>#NUM!</v>
      </c>
      <c r="AM73" t="e">
        <f t="shared" ref="AM73:AM77" si="23">INDEX($AE$8:$AE$1048505,MATCH(AH73,$AF$8:$AF$1048505,0))</f>
        <v>#NUM!</v>
      </c>
      <c r="BI73" s="22">
        <v>43765</v>
      </c>
      <c r="BL73" s="25">
        <v>43617</v>
      </c>
      <c r="BM73" s="24">
        <v>2</v>
      </c>
      <c r="BN73" s="24">
        <v>0</v>
      </c>
      <c r="BO73" s="24">
        <v>0</v>
      </c>
      <c r="BP73" s="24">
        <v>2</v>
      </c>
      <c r="BQ73" s="24">
        <v>2</v>
      </c>
      <c r="BR73" s="24">
        <v>2</v>
      </c>
      <c r="BS73" s="31">
        <v>1</v>
      </c>
      <c r="BT73" s="31" t="str">
        <v/>
      </c>
      <c r="BU73" s="31" t="str">
        <v/>
      </c>
      <c r="BV73" s="31" t="e">
        <f>NA()</f>
        <v>#N/A</v>
      </c>
    </row>
    <row r="74" spans="11:74" x14ac:dyDescent="0.3">
      <c r="X74" s="7"/>
      <c r="Y74"/>
      <c r="AH74" t="e">
        <f t="shared" si="18"/>
        <v>#NUM!</v>
      </c>
      <c r="AI74" t="e">
        <f t="shared" si="19"/>
        <v>#NUM!</v>
      </c>
      <c r="AJ74" t="e">
        <f t="shared" si="20"/>
        <v>#NUM!</v>
      </c>
      <c r="AK74" t="e">
        <f t="shared" si="21"/>
        <v>#NUM!</v>
      </c>
      <c r="AL74" t="e">
        <f t="shared" si="22"/>
        <v>#NUM!</v>
      </c>
      <c r="AM74" t="e">
        <f t="shared" si="23"/>
        <v>#NUM!</v>
      </c>
      <c r="BI74" s="22">
        <v>43774</v>
      </c>
      <c r="BL74" s="25">
        <v>43647</v>
      </c>
      <c r="BM74" s="24">
        <v>0</v>
      </c>
      <c r="BN74" s="24">
        <v>0</v>
      </c>
      <c r="BO74" s="24">
        <v>0</v>
      </c>
      <c r="BP74" s="24" t="str">
        <v/>
      </c>
      <c r="BQ74" s="24">
        <v>0</v>
      </c>
      <c r="BR74" s="24" t="str">
        <v/>
      </c>
      <c r="BS74" s="31" t="str">
        <v/>
      </c>
      <c r="BT74" s="31" t="str">
        <v/>
      </c>
      <c r="BU74" s="31" t="str">
        <v/>
      </c>
      <c r="BV74" s="31" t="e">
        <f>NA()</f>
        <v>#N/A</v>
      </c>
    </row>
    <row r="75" spans="11:74" x14ac:dyDescent="0.3">
      <c r="X75" s="7"/>
      <c r="Y75"/>
      <c r="AH75" t="e">
        <f t="shared" si="18"/>
        <v>#NUM!</v>
      </c>
      <c r="AI75" t="e">
        <f t="shared" si="19"/>
        <v>#NUM!</v>
      </c>
      <c r="AJ75" t="e">
        <f t="shared" si="20"/>
        <v>#NUM!</v>
      </c>
      <c r="AK75" t="e">
        <f t="shared" si="21"/>
        <v>#NUM!</v>
      </c>
      <c r="AL75" t="e">
        <f t="shared" si="22"/>
        <v>#NUM!</v>
      </c>
      <c r="AM75" t="e">
        <f t="shared" si="23"/>
        <v>#NUM!</v>
      </c>
      <c r="BI75" s="22">
        <v>43775</v>
      </c>
      <c r="BL75" s="25">
        <v>43678</v>
      </c>
      <c r="BM75" s="24">
        <v>0</v>
      </c>
      <c r="BN75" s="24">
        <v>1</v>
      </c>
      <c r="BO75" s="24">
        <v>4</v>
      </c>
      <c r="BP75" s="24">
        <v>5</v>
      </c>
      <c r="BQ75" s="24">
        <v>5</v>
      </c>
      <c r="BR75" s="24">
        <v>5</v>
      </c>
      <c r="BS75" s="31" t="str">
        <v/>
      </c>
      <c r="BT75" s="31">
        <v>0.2</v>
      </c>
      <c r="BU75" s="31">
        <v>0.8</v>
      </c>
      <c r="BV75" s="31" t="e">
        <f>NA()</f>
        <v>#N/A</v>
      </c>
    </row>
    <row r="76" spans="11:74" x14ac:dyDescent="0.3">
      <c r="X76" s="7"/>
      <c r="Y76"/>
      <c r="AH76" t="e">
        <f t="shared" si="18"/>
        <v>#NUM!</v>
      </c>
      <c r="AI76" t="e">
        <f t="shared" si="19"/>
        <v>#NUM!</v>
      </c>
      <c r="AJ76" t="e">
        <f t="shared" si="20"/>
        <v>#NUM!</v>
      </c>
      <c r="AK76" t="e">
        <f t="shared" si="21"/>
        <v>#NUM!</v>
      </c>
      <c r="AL76" t="e">
        <f t="shared" si="22"/>
        <v>#NUM!</v>
      </c>
      <c r="AM76" t="e">
        <f t="shared" si="23"/>
        <v>#NUM!</v>
      </c>
      <c r="BI76" s="22">
        <v>43777</v>
      </c>
      <c r="BL76" s="25">
        <v>43709</v>
      </c>
      <c r="BM76" s="24">
        <v>0</v>
      </c>
      <c r="BN76" s="24">
        <v>0</v>
      </c>
      <c r="BO76" s="24">
        <v>0</v>
      </c>
      <c r="BP76" s="24" t="str">
        <v/>
      </c>
      <c r="BQ76" s="24">
        <v>0</v>
      </c>
      <c r="BR76" s="24" t="str">
        <v/>
      </c>
      <c r="BS76" s="31" t="str">
        <v/>
      </c>
      <c r="BT76" s="31" t="str">
        <v/>
      </c>
      <c r="BU76" s="31" t="str">
        <v/>
      </c>
      <c r="BV76" s="31" t="e">
        <f>NA()</f>
        <v>#N/A</v>
      </c>
    </row>
    <row r="77" spans="11:74" x14ac:dyDescent="0.3">
      <c r="X77" s="7"/>
      <c r="Y77"/>
      <c r="AH77" t="e">
        <f t="shared" si="18"/>
        <v>#NUM!</v>
      </c>
      <c r="AI77" t="e">
        <f t="shared" si="19"/>
        <v>#NUM!</v>
      </c>
      <c r="AJ77" t="e">
        <f t="shared" si="20"/>
        <v>#NUM!</v>
      </c>
      <c r="AK77" t="e">
        <f t="shared" si="21"/>
        <v>#NUM!</v>
      </c>
      <c r="AL77" t="e">
        <f t="shared" si="22"/>
        <v>#NUM!</v>
      </c>
      <c r="AM77" t="e">
        <f t="shared" si="23"/>
        <v>#NUM!</v>
      </c>
      <c r="BI77" s="22">
        <v>43783</v>
      </c>
      <c r="BL77" s="25">
        <v>43739</v>
      </c>
      <c r="BM77" s="24">
        <v>2</v>
      </c>
      <c r="BN77" s="24">
        <v>0</v>
      </c>
      <c r="BO77" s="24">
        <v>2</v>
      </c>
      <c r="BP77" s="24">
        <v>4</v>
      </c>
      <c r="BQ77" s="24">
        <v>4</v>
      </c>
      <c r="BR77" s="24">
        <v>4</v>
      </c>
      <c r="BS77" s="31">
        <v>0.5</v>
      </c>
      <c r="BT77" s="31" t="str">
        <v/>
      </c>
      <c r="BU77" s="31">
        <v>0.5</v>
      </c>
      <c r="BV77" s="31" t="e">
        <f>NA()</f>
        <v>#N/A</v>
      </c>
    </row>
    <row r="78" spans="11:74" x14ac:dyDescent="0.3">
      <c r="X78" s="7"/>
      <c r="Y78"/>
      <c r="BI78" s="22">
        <v>43807</v>
      </c>
      <c r="BL78" s="25">
        <v>43770</v>
      </c>
      <c r="BM78" s="24">
        <v>0</v>
      </c>
      <c r="BN78" s="24">
        <v>0</v>
      </c>
      <c r="BO78" s="24">
        <v>1</v>
      </c>
      <c r="BP78" s="24">
        <v>1</v>
      </c>
      <c r="BQ78" s="24">
        <v>1</v>
      </c>
      <c r="BR78" s="24">
        <v>1</v>
      </c>
      <c r="BS78" s="31" t="str">
        <v/>
      </c>
      <c r="BT78" s="31" t="str">
        <v/>
      </c>
      <c r="BU78" s="31">
        <v>1</v>
      </c>
      <c r="BV78" s="31" t="e">
        <f>NA()</f>
        <v>#N/A</v>
      </c>
    </row>
    <row r="79" spans="11:74" x14ac:dyDescent="0.3">
      <c r="X79" s="7"/>
      <c r="Y79"/>
      <c r="BI79" s="22">
        <v>43811</v>
      </c>
      <c r="BL79" s="25">
        <v>43800</v>
      </c>
      <c r="BM79" s="24">
        <v>0</v>
      </c>
      <c r="BN79" s="24">
        <v>0</v>
      </c>
      <c r="BO79" s="24">
        <v>2</v>
      </c>
      <c r="BP79" s="24">
        <v>2</v>
      </c>
      <c r="BQ79" s="24">
        <v>2</v>
      </c>
      <c r="BR79" s="24">
        <v>2</v>
      </c>
      <c r="BS79" s="31" t="str">
        <v/>
      </c>
      <c r="BT79" s="31" t="str">
        <v/>
      </c>
      <c r="BU79" s="31">
        <v>1</v>
      </c>
      <c r="BV79" s="31" t="e">
        <f>NA()</f>
        <v>#N/A</v>
      </c>
    </row>
    <row r="80" spans="11:74" x14ac:dyDescent="0.3">
      <c r="X80" s="7"/>
      <c r="Y80"/>
      <c r="BI80" s="22">
        <v>43813</v>
      </c>
      <c r="BL80" s="25"/>
      <c r="BM80" s="24"/>
      <c r="BN80" s="24"/>
      <c r="BO80" s="24"/>
      <c r="BP80" s="24"/>
      <c r="BQ80" s="24"/>
      <c r="BR80" s="24"/>
      <c r="BS80" s="31"/>
      <c r="BT80" s="31"/>
      <c r="BU80" s="31"/>
      <c r="BV80" s="31" t="e">
        <f>NA()</f>
        <v>#N/A</v>
      </c>
    </row>
    <row r="81" spans="24:74" x14ac:dyDescent="0.3">
      <c r="X81" s="7"/>
      <c r="Y81"/>
      <c r="BI81" s="22" t="s">
        <v>49</v>
      </c>
      <c r="BL81" s="25"/>
      <c r="BM81" s="24"/>
      <c r="BN81" s="24"/>
      <c r="BO81" s="24"/>
      <c r="BP81" s="24"/>
      <c r="BQ81" s="24"/>
      <c r="BR81" s="24"/>
      <c r="BS81" s="31"/>
      <c r="BT81" s="31"/>
      <c r="BU81" s="31"/>
      <c r="BV81" s="31" t="e">
        <f>NA()</f>
        <v>#N/A</v>
      </c>
    </row>
    <row r="82" spans="24:74" x14ac:dyDescent="0.3">
      <c r="X82" s="7"/>
      <c r="Y82"/>
      <c r="BL82" s="25"/>
      <c r="BM82" s="24"/>
      <c r="BN82" s="24"/>
      <c r="BO82" s="24"/>
      <c r="BP82" s="24"/>
      <c r="BQ82" s="24"/>
      <c r="BR82" s="24"/>
      <c r="BS82" s="31"/>
      <c r="BT82" s="31"/>
      <c r="BU82" s="31"/>
      <c r="BV82" s="31" t="e">
        <f>NA()</f>
        <v>#N/A</v>
      </c>
    </row>
    <row r="83" spans="24:74" x14ac:dyDescent="0.3">
      <c r="X83" s="7"/>
      <c r="Y83"/>
      <c r="BL83" s="25"/>
      <c r="BM83" s="24"/>
      <c r="BN83" s="24"/>
      <c r="BO83" s="24"/>
      <c r="BP83" s="24"/>
      <c r="BQ83" s="24"/>
      <c r="BR83" s="24"/>
      <c r="BS83" s="31"/>
      <c r="BT83" s="31"/>
      <c r="BU83" s="31"/>
      <c r="BV83" s="31" t="e">
        <f>NA()</f>
        <v>#N/A</v>
      </c>
    </row>
    <row r="84" spans="24:74" x14ac:dyDescent="0.3">
      <c r="X84" s="7"/>
      <c r="Y84"/>
      <c r="BL84" s="25"/>
      <c r="BM84" s="24"/>
      <c r="BN84" s="24"/>
      <c r="BO84" s="24"/>
      <c r="BP84" s="24"/>
      <c r="BQ84" s="24"/>
      <c r="BR84" s="24"/>
      <c r="BS84" s="31"/>
      <c r="BT84" s="31"/>
      <c r="BU84" s="31"/>
      <c r="BV84" s="31" t="e">
        <f>NA()</f>
        <v>#N/A</v>
      </c>
    </row>
    <row r="85" spans="24:74" x14ac:dyDescent="0.3">
      <c r="X85" s="7"/>
      <c r="Y85"/>
      <c r="BL85" s="25"/>
      <c r="BM85" s="24"/>
      <c r="BN85" s="24"/>
      <c r="BO85" s="24"/>
      <c r="BP85" s="24"/>
      <c r="BQ85" s="24"/>
      <c r="BR85" s="24"/>
      <c r="BS85" s="31"/>
      <c r="BT85" s="31"/>
      <c r="BU85" s="31"/>
      <c r="BV85" s="31" t="e">
        <f>NA()</f>
        <v>#N/A</v>
      </c>
    </row>
    <row r="86" spans="24:74" x14ac:dyDescent="0.3">
      <c r="X86" s="7"/>
      <c r="Y86"/>
      <c r="BL86" s="25"/>
      <c r="BM86" s="24"/>
      <c r="BN86" s="24"/>
      <c r="BO86" s="24"/>
      <c r="BP86" s="24"/>
      <c r="BQ86" s="24"/>
      <c r="BR86" s="24"/>
      <c r="BS86" s="31"/>
      <c r="BT86" s="31"/>
      <c r="BU86" s="31"/>
      <c r="BV86" s="31" t="e">
        <f>NA()</f>
        <v>#N/A</v>
      </c>
    </row>
    <row r="87" spans="24:74" x14ac:dyDescent="0.3">
      <c r="X87" s="7"/>
      <c r="Y87"/>
      <c r="BL87" s="25"/>
      <c r="BM87" s="24"/>
      <c r="BN87" s="24"/>
      <c r="BO87" s="24"/>
      <c r="BP87" s="24"/>
      <c r="BQ87" s="24"/>
      <c r="BR87" s="24"/>
      <c r="BS87" s="31"/>
      <c r="BT87" s="31"/>
      <c r="BU87" s="31"/>
      <c r="BV87" s="31" t="e">
        <f>NA()</f>
        <v>#N/A</v>
      </c>
    </row>
    <row r="88" spans="24:74" x14ac:dyDescent="0.3">
      <c r="X88" s="7"/>
      <c r="Y88"/>
      <c r="BL88" s="25"/>
      <c r="BM88" s="24"/>
      <c r="BN88" s="24"/>
      <c r="BO88" s="24"/>
      <c r="BP88" s="24"/>
      <c r="BQ88" s="24"/>
      <c r="BR88" s="24"/>
      <c r="BS88" s="31"/>
      <c r="BT88" s="31"/>
      <c r="BU88" s="31"/>
      <c r="BV88" s="31" t="e">
        <f>NA()</f>
        <v>#N/A</v>
      </c>
    </row>
    <row r="89" spans="24:74" x14ac:dyDescent="0.3">
      <c r="X89" s="7"/>
      <c r="Y89"/>
      <c r="BL89" s="25"/>
      <c r="BM89" s="24"/>
      <c r="BN89" s="24"/>
      <c r="BO89" s="24"/>
      <c r="BP89" s="24"/>
      <c r="BQ89" s="24"/>
      <c r="BR89" s="24"/>
      <c r="BS89" s="31"/>
      <c r="BT89" s="31"/>
      <c r="BU89" s="31"/>
      <c r="BV89" s="31" t="e">
        <f>NA()</f>
        <v>#N/A</v>
      </c>
    </row>
    <row r="90" spans="24:74" x14ac:dyDescent="0.3">
      <c r="X90" s="7"/>
      <c r="Y90"/>
      <c r="BL90" s="25"/>
      <c r="BM90" s="24"/>
      <c r="BN90" s="24"/>
      <c r="BO90" s="24"/>
      <c r="BP90" s="24"/>
      <c r="BQ90" s="24"/>
      <c r="BR90" s="24"/>
      <c r="BS90" s="31"/>
      <c r="BT90" s="31"/>
      <c r="BU90" s="31"/>
      <c r="BV90" s="31" t="e">
        <f>NA()</f>
        <v>#N/A</v>
      </c>
    </row>
    <row r="91" spans="24:74" x14ac:dyDescent="0.3">
      <c r="X91" s="7"/>
      <c r="Y91"/>
      <c r="BL91" s="25"/>
      <c r="BM91" s="24"/>
      <c r="BN91" s="24"/>
      <c r="BO91" s="24"/>
      <c r="BP91" s="24"/>
      <c r="BQ91" s="24"/>
      <c r="BR91" s="24"/>
      <c r="BS91" s="31"/>
      <c r="BT91" s="31"/>
      <c r="BU91" s="31"/>
      <c r="BV91" s="31" t="e">
        <f>NA()</f>
        <v>#N/A</v>
      </c>
    </row>
    <row r="92" spans="24:74" x14ac:dyDescent="0.3">
      <c r="X92" s="7"/>
      <c r="Y92"/>
      <c r="BL92" s="25"/>
      <c r="BM92" s="24"/>
      <c r="BN92" s="24"/>
      <c r="BO92" s="24"/>
      <c r="BP92" s="24"/>
      <c r="BQ92" s="24"/>
      <c r="BR92" s="24"/>
      <c r="BS92" s="31"/>
      <c r="BT92" s="31"/>
      <c r="BU92" s="31"/>
      <c r="BV92" s="31" t="e">
        <f>NA()</f>
        <v>#N/A</v>
      </c>
    </row>
    <row r="93" spans="24:74" x14ac:dyDescent="0.3">
      <c r="X93" s="7"/>
      <c r="Y93"/>
      <c r="BL93" s="25"/>
      <c r="BM93" s="24"/>
      <c r="BN93" s="24"/>
      <c r="BO93" s="24"/>
      <c r="BP93" s="24"/>
      <c r="BQ93" s="24"/>
      <c r="BR93" s="24"/>
      <c r="BS93" s="31"/>
      <c r="BT93" s="31"/>
      <c r="BU93" s="31"/>
      <c r="BV93" s="31" t="e">
        <f>NA()</f>
        <v>#N/A</v>
      </c>
    </row>
    <row r="94" spans="24:74" x14ac:dyDescent="0.3">
      <c r="X94" s="7"/>
      <c r="Y94"/>
      <c r="BL94" s="25"/>
      <c r="BM94" s="24"/>
      <c r="BN94" s="24"/>
      <c r="BO94" s="24"/>
      <c r="BP94" s="24"/>
      <c r="BQ94" s="24"/>
      <c r="BR94" s="24"/>
      <c r="BS94" s="31"/>
      <c r="BT94" s="31"/>
      <c r="BU94" s="31"/>
      <c r="BV94" s="31" t="e">
        <f>NA()</f>
        <v>#N/A</v>
      </c>
    </row>
    <row r="95" spans="24:74" x14ac:dyDescent="0.3">
      <c r="X95" s="7"/>
      <c r="Y95"/>
      <c r="BL95" s="25"/>
      <c r="BM95" s="24"/>
      <c r="BN95" s="24"/>
      <c r="BO95" s="24"/>
      <c r="BP95" s="24"/>
      <c r="BQ95" s="24"/>
      <c r="BR95" s="24"/>
      <c r="BS95" s="31"/>
      <c r="BT95" s="31"/>
      <c r="BU95" s="31"/>
      <c r="BV95" s="31" t="e">
        <f>NA()</f>
        <v>#N/A</v>
      </c>
    </row>
    <row r="96" spans="24:74" x14ac:dyDescent="0.3">
      <c r="X96" s="7"/>
      <c r="Y96"/>
      <c r="BL96" s="25"/>
      <c r="BM96" s="24"/>
      <c r="BN96" s="24"/>
      <c r="BO96" s="24"/>
      <c r="BP96" s="24"/>
      <c r="BQ96" s="24"/>
      <c r="BR96" s="24"/>
      <c r="BS96" s="31"/>
      <c r="BT96" s="31"/>
      <c r="BU96" s="31"/>
      <c r="BV96" s="31" t="e">
        <f>NA()</f>
        <v>#N/A</v>
      </c>
    </row>
    <row r="97" spans="24:74" x14ac:dyDescent="0.3">
      <c r="X97" s="7"/>
      <c r="Y97"/>
      <c r="BL97" s="25"/>
      <c r="BM97" s="24"/>
      <c r="BN97" s="24"/>
      <c r="BO97" s="24"/>
      <c r="BP97" s="24"/>
      <c r="BQ97" s="24"/>
      <c r="BR97" s="24"/>
      <c r="BS97" s="31"/>
      <c r="BT97" s="31"/>
      <c r="BU97" s="31"/>
      <c r="BV97" s="31" t="e">
        <f>NA()</f>
        <v>#N/A</v>
      </c>
    </row>
    <row r="98" spans="24:74" x14ac:dyDescent="0.3">
      <c r="X98" s="7"/>
      <c r="Y98"/>
      <c r="BL98" s="25"/>
      <c r="BM98" s="24"/>
      <c r="BN98" s="24"/>
      <c r="BO98" s="24"/>
      <c r="BP98" s="24"/>
      <c r="BQ98" s="24"/>
      <c r="BR98" s="24"/>
      <c r="BS98" s="31"/>
      <c r="BT98" s="31"/>
      <c r="BU98" s="31"/>
      <c r="BV98" s="31" t="e">
        <f>NA()</f>
        <v>#N/A</v>
      </c>
    </row>
  </sheetData>
  <conditionalFormatting sqref="AR8:AR18">
    <cfRule type="dataBar" priority="9">
      <dataBar>
        <cfvo type="num" val="$AO$10"/>
        <cfvo type="num" val="$AO$9"/>
        <color rgb="FF63C384"/>
      </dataBar>
      <extLst>
        <ext xmlns:x14="http://schemas.microsoft.com/office/spreadsheetml/2009/9/main" uri="{B025F937-C7B1-47D3-B67F-A62EFF666E3E}">
          <x14:id>{509872A0-A649-4007-8598-B9DBA98FD83D}</x14:id>
        </ext>
      </extLst>
    </cfRule>
  </conditionalFormatting>
  <conditionalFormatting sqref="AS8:AS17">
    <cfRule type="dataBar" priority="10">
      <dataBar>
        <cfvo type="num" val="$AO$10"/>
        <cfvo type="num" val="$AO$9"/>
        <color rgb="FFFFB628"/>
      </dataBar>
      <extLst>
        <ext xmlns:x14="http://schemas.microsoft.com/office/spreadsheetml/2009/9/main" uri="{B025F937-C7B1-47D3-B67F-A62EFF666E3E}">
          <x14:id>{DE51D0EB-6311-4780-89DE-95EE228D2AEC}</x14:id>
        </ext>
      </extLst>
    </cfRule>
  </conditionalFormatting>
  <conditionalFormatting sqref="AT8:AT17">
    <cfRule type="dataBar" priority="11">
      <dataBar>
        <cfvo type="num" val="$AO$10"/>
        <cfvo type="num" val="$AO$9"/>
        <color rgb="FFD6007B"/>
      </dataBar>
      <extLst>
        <ext xmlns:x14="http://schemas.microsoft.com/office/spreadsheetml/2009/9/main" uri="{B025F937-C7B1-47D3-B67F-A62EFF666E3E}">
          <x14:id>{7508AD06-1D0D-44CB-8F62-E4AEBD821256}</x14:id>
        </ext>
      </extLst>
    </cfRule>
  </conditionalFormatting>
  <conditionalFormatting sqref="AU8:AU17">
    <cfRule type="dataBar" priority="12">
      <dataBar>
        <cfvo type="num" val="$AO$10"/>
        <cfvo type="num" val="$AO$9"/>
        <color rgb="FF008AEF"/>
      </dataBar>
      <extLst>
        <ext xmlns:x14="http://schemas.microsoft.com/office/spreadsheetml/2009/9/main" uri="{B025F937-C7B1-47D3-B67F-A62EFF666E3E}">
          <x14:id>{CF07725D-D577-46D9-A339-7042A2FB2B0D}</x14:id>
        </ext>
      </extLst>
    </cfRule>
  </conditionalFormatting>
  <dataValidations disablePrompts="1" count="2">
    <dataValidation type="date" operator="greaterThanOrEqual" allowBlank="1" showInputMessage="1" showErrorMessage="1" sqref="I4" xr:uid="{C6683BCB-0D09-44E0-B804-26B031F4D79C}">
      <formula1>D5</formula1>
    </dataValidation>
    <dataValidation type="date" operator="greaterThanOrEqual" allowBlank="1" showInputMessage="1" showErrorMessage="1" sqref="E7" xr:uid="{D21961E9-7550-4AC0-90AF-C6A962DCED33}">
      <formula1>$D$5</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$AO$10</xm:f>
              </x14:cfvo>
              <x14:cfvo type="num">
                <xm:f>$AO$9</xm:f>
              </x14:cfvo>
              <x14:borderColor rgb="FF63C384"/>
              <x14:negativeFillColor rgb="FFFF0000"/>
              <x14:negativeBorderColor rgb="FFFF0000"/>
              <x14:axisColor rgb="FF000000"/>
            </x14:dataBar>
          </x14:cfRule>
          <xm:sqref>AR8:AR18</xm:sqref>
        </x14:conditionalFormatting>
        <x14:conditionalFormatting xmlns:xm="http://schemas.microsoft.com/office/excel/2006/main">
          <x14:cfRule type="dataBar" id="{DE51D0EB-6311-4780-89DE-95EE228D2AEC}">
            <x14:dataBar minLength="0" maxLength="100" border="1" negativeBarBorderColorSameAsPositive="0">
              <x14:cfvo type="num">
                <xm:f>$AO$10</xm:f>
              </x14:cfvo>
              <x14:cfvo type="num">
                <xm:f>$AO$9</xm:f>
              </x14:cfvo>
              <x14:borderColor rgb="FFFFB628"/>
              <x14:negativeFillColor rgb="FFFF0000"/>
              <x14:negativeBorderColor rgb="FFFF0000"/>
              <x14:axisColor rgb="FF000000"/>
            </x14:dataBar>
          </x14:cfRule>
          <xm:sqref>AS8:AS17</xm:sqref>
        </x14:conditionalFormatting>
        <x14:conditionalFormatting xmlns:xm="http://schemas.microsoft.com/office/excel/2006/main">
          <x14:cfRule type="dataBar" id="{7508AD06-1D0D-44CB-8F62-E4AEBD821256}">
            <x14:dataBar minLength="0" maxLength="100" border="1" negativeBarBorderColorSameAsPositive="0">
              <x14:cfvo type="num">
                <xm:f>$AO$10</xm:f>
              </x14:cfvo>
              <x14:cfvo type="num">
                <xm:f>$AO$9</xm:f>
              </x14:cfvo>
              <x14:borderColor rgb="FFD6007B"/>
              <x14:negativeFillColor rgb="FFFF0000"/>
              <x14:negativeBorderColor rgb="FFFF0000"/>
              <x14:axisColor rgb="FF000000"/>
            </x14:dataBar>
          </x14:cfRule>
          <xm:sqref>AT8:AT17</xm:sqref>
        </x14:conditionalFormatting>
        <x14:conditionalFormatting xmlns:xm="http://schemas.microsoft.com/office/excel/2006/main">
          <x14:cfRule type="dataBar" id="{CF07725D-D577-46D9-A339-7042A2FB2B0D}">
            <x14:dataBar minLength="0" maxLength="100" border="1" negativeBarBorderColorSameAsPositive="0">
              <x14:cfvo type="num">
                <xm:f>$AO$10</xm:f>
              </x14:cfvo>
              <x14:cfvo type="num">
                <xm:f>$AO$9</xm:f>
              </x14:cfvo>
              <x14:borderColor rgb="FF008AEF"/>
              <x14:negativeFillColor rgb="FFFF0000"/>
              <x14:negativeBorderColor rgb="FFFF0000"/>
              <x14:axisColor rgb="FF000000"/>
            </x14:dataBar>
          </x14:cfRule>
          <xm:sqref>AU8:AU17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8EDFC-D5CD-40FC-9BFC-B3CC6CD45D4F}">
  <dimension ref="A3:M80"/>
  <sheetViews>
    <sheetView zoomScale="92" zoomScaleNormal="107" workbookViewId="0">
      <selection activeCell="B7" sqref="B7"/>
    </sheetView>
  </sheetViews>
  <sheetFormatPr defaultRowHeight="14.4" x14ac:dyDescent="0.3"/>
  <cols>
    <col min="2" max="2" width="11" bestFit="1" customWidth="1"/>
    <col min="4" max="4" width="13.109375" bestFit="1" customWidth="1"/>
    <col min="5" max="5" width="11.33203125" bestFit="1" customWidth="1"/>
    <col min="6" max="6" width="25.5546875" bestFit="1" customWidth="1"/>
    <col min="7" max="7" width="19.6640625" bestFit="1" customWidth="1"/>
    <col min="8" max="8" width="13.109375" bestFit="1" customWidth="1"/>
    <col min="9" max="9" width="9.5546875" bestFit="1" customWidth="1"/>
    <col min="10" max="10" width="15.6640625" bestFit="1" customWidth="1"/>
    <col min="11" max="11" width="15.21875" bestFit="1" customWidth="1"/>
    <col min="12" max="12" width="14.6640625" customWidth="1"/>
  </cols>
  <sheetData>
    <row r="3" spans="1:13" x14ac:dyDescent="0.3">
      <c r="G3" t="s">
        <v>36</v>
      </c>
      <c r="H3" t="str" cm="1">
        <f t="array" ref="H3">"Distribution Sentiment All Topics Period: "&amp; INDEX($B$10:$B$16,$B$7)</f>
        <v>Distribution Sentiment All Topics Period: 2013</v>
      </c>
    </row>
    <row r="4" spans="1:13" x14ac:dyDescent="0.3">
      <c r="A4" s="48" t="s">
        <v>83</v>
      </c>
      <c r="B4" s="48"/>
      <c r="D4" s="44" t="s">
        <v>80</v>
      </c>
      <c r="G4" s="28"/>
      <c r="H4" s="28" t="s">
        <v>51</v>
      </c>
      <c r="I4" s="43" t="s">
        <v>23</v>
      </c>
      <c r="J4" s="43" t="s">
        <v>22</v>
      </c>
      <c r="K4" s="43" t="s">
        <v>21</v>
      </c>
      <c r="L4" s="45" t="s">
        <v>24</v>
      </c>
      <c r="M4" s="45" t="s">
        <v>57</v>
      </c>
    </row>
    <row r="5" spans="1:13" x14ac:dyDescent="0.3">
      <c r="A5" t="s">
        <v>33</v>
      </c>
      <c r="B5" s="15">
        <f>MIN(D5:D1048576)</f>
        <v>41382</v>
      </c>
      <c r="D5" s="22">
        <v>41382</v>
      </c>
      <c r="G5" s="28">
        <v>1</v>
      </c>
      <c r="H5" s="29" cm="1">
        <f t="array" ref="H5">DATE(INDEX($B$10:$B$16,$B$7),G5,1)</f>
        <v>41275</v>
      </c>
      <c r="I5">
        <f>SUMIFS(TableTrend[positive],TableTrend[month],"="&amp;$H5)</f>
        <v>0</v>
      </c>
      <c r="J5">
        <f>SUMIFS(TableTrend[neutral],TableTrend[month],"="&amp;$H5)</f>
        <v>0</v>
      </c>
      <c r="K5">
        <f>SUMIFS(TableTrend[negative],TableTrend[month],"="&amp;$H5)</f>
        <v>0</v>
      </c>
      <c r="L5">
        <f>SUMIFS(TableTrend[total],TableTrend[month],"="&amp;$H5)</f>
        <v>0</v>
      </c>
      <c r="M5" t="str">
        <f t="shared" ref="M5:M16" si="0">IF(L5&lt;&gt;0,L5,"")</f>
        <v/>
      </c>
    </row>
    <row r="6" spans="1:13" x14ac:dyDescent="0.3">
      <c r="A6" t="s">
        <v>32</v>
      </c>
      <c r="B6" s="15">
        <f>MAX(D5:D1048576)</f>
        <v>43813</v>
      </c>
      <c r="D6" s="22">
        <v>41616</v>
      </c>
      <c r="G6" s="28">
        <v>2</v>
      </c>
      <c r="H6" s="29" cm="1">
        <f t="array" ref="H6">DATE(INDEX($B$10:$B$16,$B$7),G6,1)</f>
        <v>41306</v>
      </c>
      <c r="I6">
        <f>SUMIFS(TableTrend[positive],TableTrend[month],"="&amp;$H6)</f>
        <v>0</v>
      </c>
      <c r="J6">
        <f>SUMIFS(TableTrend[neutral],TableTrend[month],"="&amp;$H6)</f>
        <v>0</v>
      </c>
      <c r="K6">
        <f>SUMIFS(TableTrend[negative],TableTrend[month],"="&amp;$H6)</f>
        <v>0</v>
      </c>
      <c r="L6">
        <f>SUMIFS(TableTrend[total],TableTrend[month],"="&amp;$H6)</f>
        <v>0</v>
      </c>
      <c r="M6" t="str">
        <f t="shared" si="0"/>
        <v/>
      </c>
    </row>
    <row r="7" spans="1:13" x14ac:dyDescent="0.3">
      <c r="A7" t="s">
        <v>53</v>
      </c>
      <c r="B7">
        <v>1</v>
      </c>
      <c r="D7" s="22">
        <v>41627</v>
      </c>
      <c r="G7" s="28">
        <v>3</v>
      </c>
      <c r="H7" s="29" cm="1">
        <f t="array" ref="H7">DATE(INDEX($B$10:$B$16,$B$7),G7,1)</f>
        <v>41334</v>
      </c>
      <c r="I7">
        <f>SUMIFS(TableTrend[positive],TableTrend[month],"="&amp;$H7)</f>
        <v>0</v>
      </c>
      <c r="J7">
        <f>SUMIFS(TableTrend[neutral],TableTrend[month],"="&amp;$H7)</f>
        <v>0</v>
      </c>
      <c r="K7">
        <f>SUMIFS(TableTrend[negative],TableTrend[month],"="&amp;$H7)</f>
        <v>0</v>
      </c>
      <c r="L7">
        <f>SUMIFS(TableTrend[total],TableTrend[month],"="&amp;$H7)</f>
        <v>0</v>
      </c>
      <c r="M7" t="str">
        <f t="shared" si="0"/>
        <v/>
      </c>
    </row>
    <row r="8" spans="1:13" x14ac:dyDescent="0.3">
      <c r="D8" s="22">
        <v>41847</v>
      </c>
      <c r="G8" s="28">
        <v>4</v>
      </c>
      <c r="H8" s="29" cm="1">
        <f t="array" ref="H8">DATE(INDEX($B$10:$B$16,$B$7),G8,1)</f>
        <v>41365</v>
      </c>
      <c r="I8">
        <f>SUMIFS(TableTrend[positive],TableTrend[month],"="&amp;$H8)</f>
        <v>2</v>
      </c>
      <c r="J8">
        <f>SUMIFS(TableTrend[neutral],TableTrend[month],"="&amp;$H8)</f>
        <v>0</v>
      </c>
      <c r="K8">
        <f>SUMIFS(TableTrend[negative],TableTrend[month],"="&amp;$H8)</f>
        <v>0</v>
      </c>
      <c r="L8">
        <f>SUMIFS(TableTrend[total],TableTrend[month],"="&amp;$H8)</f>
        <v>2</v>
      </c>
      <c r="M8">
        <f t="shared" si="0"/>
        <v>2</v>
      </c>
    </row>
    <row r="9" spans="1:13" x14ac:dyDescent="0.3">
      <c r="A9" t="s">
        <v>84</v>
      </c>
      <c r="D9" s="22">
        <v>41903</v>
      </c>
      <c r="G9" s="28">
        <v>5</v>
      </c>
      <c r="H9" s="29" cm="1">
        <f t="array" ref="H9">DATE(INDEX($B$10:$B$16,$B$7),G9,1)</f>
        <v>41395</v>
      </c>
      <c r="I9">
        <f>SUMIFS(TableTrend[positive],TableTrend[month],"="&amp;$H9)</f>
        <v>0</v>
      </c>
      <c r="J9">
        <f>SUMIFS(TableTrend[neutral],TableTrend[month],"="&amp;$H9)</f>
        <v>0</v>
      </c>
      <c r="K9">
        <f>SUMIFS(TableTrend[negative],TableTrend[month],"="&amp;$H9)</f>
        <v>0</v>
      </c>
      <c r="L9">
        <f>SUMIFS(TableTrend[total],TableTrend[month],"="&amp;$H9)</f>
        <v>0</v>
      </c>
      <c r="M9" t="str">
        <f t="shared" si="0"/>
        <v/>
      </c>
    </row>
    <row r="10" spans="1:13" x14ac:dyDescent="0.3">
      <c r="A10">
        <v>1</v>
      </c>
      <c r="B10">
        <v>2013</v>
      </c>
      <c r="D10" s="22">
        <v>41915</v>
      </c>
      <c r="G10" s="28">
        <v>6</v>
      </c>
      <c r="H10" s="29" cm="1">
        <f t="array" ref="H10">DATE(INDEX($B$10:$B$16,$B$7),G10,1)</f>
        <v>41426</v>
      </c>
      <c r="I10">
        <f>SUMIFS(TableTrend[positive],TableTrend[month],"="&amp;$H10)</f>
        <v>0</v>
      </c>
      <c r="J10">
        <f>SUMIFS(TableTrend[neutral],TableTrend[month],"="&amp;$H10)</f>
        <v>0</v>
      </c>
      <c r="K10">
        <f>SUMIFS(TableTrend[negative],TableTrend[month],"="&amp;$H10)</f>
        <v>0</v>
      </c>
      <c r="L10">
        <f>SUMIFS(TableTrend[total],TableTrend[month],"="&amp;$H10)</f>
        <v>0</v>
      </c>
      <c r="M10" t="str">
        <f t="shared" si="0"/>
        <v/>
      </c>
    </row>
    <row r="11" spans="1:13" x14ac:dyDescent="0.3">
      <c r="A11">
        <v>2</v>
      </c>
      <c r="B11">
        <v>2014</v>
      </c>
      <c r="D11" s="22">
        <v>42173</v>
      </c>
      <c r="G11" s="28">
        <v>7</v>
      </c>
      <c r="H11" s="29" cm="1">
        <f t="array" ref="H11">DATE(INDEX($B$10:$B$16,$B$7),G11,1)</f>
        <v>41456</v>
      </c>
      <c r="I11">
        <f>SUMIFS(TableTrend[positive],TableTrend[month],"="&amp;$H11)</f>
        <v>0</v>
      </c>
      <c r="J11">
        <f>SUMIFS(TableTrend[neutral],TableTrend[month],"="&amp;$H11)</f>
        <v>0</v>
      </c>
      <c r="K11">
        <f>SUMIFS(TableTrend[negative],TableTrend[month],"="&amp;$H11)</f>
        <v>0</v>
      </c>
      <c r="L11">
        <f>SUMIFS(TableTrend[total],TableTrend[month],"="&amp;$H11)</f>
        <v>0</v>
      </c>
      <c r="M11" t="str">
        <f t="shared" si="0"/>
        <v/>
      </c>
    </row>
    <row r="12" spans="1:13" x14ac:dyDescent="0.3">
      <c r="A12">
        <v>3</v>
      </c>
      <c r="B12">
        <v>2015</v>
      </c>
      <c r="D12" s="22">
        <v>42310</v>
      </c>
      <c r="G12" s="28">
        <v>8</v>
      </c>
      <c r="H12" s="29" cm="1">
        <f t="array" ref="H12">DATE(INDEX($B$10:$B$16,$B$7),G12,1)</f>
        <v>41487</v>
      </c>
      <c r="I12">
        <f>SUMIFS(TableTrend[positive],TableTrend[month],"="&amp;$H12)</f>
        <v>0</v>
      </c>
      <c r="J12">
        <f>SUMIFS(TableTrend[neutral],TableTrend[month],"="&amp;$H12)</f>
        <v>0</v>
      </c>
      <c r="K12">
        <f>SUMIFS(TableTrend[negative],TableTrend[month],"="&amp;$H12)</f>
        <v>0</v>
      </c>
      <c r="L12">
        <f>SUMIFS(TableTrend[total],TableTrend[month],"="&amp;$H12)</f>
        <v>0</v>
      </c>
      <c r="M12" t="str">
        <f t="shared" si="0"/>
        <v/>
      </c>
    </row>
    <row r="13" spans="1:13" x14ac:dyDescent="0.3">
      <c r="A13">
        <v>4</v>
      </c>
      <c r="B13">
        <v>2016</v>
      </c>
      <c r="D13" s="22">
        <v>42430</v>
      </c>
      <c r="G13" s="28">
        <v>9</v>
      </c>
      <c r="H13" s="29" cm="1">
        <f t="array" ref="H13">DATE(INDEX($B$10:$B$16,$B$7),G13,1)</f>
        <v>41518</v>
      </c>
      <c r="I13">
        <f>SUMIFS(TableTrend[positive],TableTrend[month],"="&amp;$H13)</f>
        <v>0</v>
      </c>
      <c r="J13">
        <f>SUMIFS(TableTrend[neutral],TableTrend[month],"="&amp;$H13)</f>
        <v>0</v>
      </c>
      <c r="K13">
        <f>SUMIFS(TableTrend[negative],TableTrend[month],"="&amp;$H13)</f>
        <v>0</v>
      </c>
      <c r="L13">
        <f>SUMIFS(TableTrend[total],TableTrend[month],"="&amp;$H13)</f>
        <v>0</v>
      </c>
      <c r="M13" t="str">
        <f t="shared" si="0"/>
        <v/>
      </c>
    </row>
    <row r="14" spans="1:13" x14ac:dyDescent="0.3">
      <c r="A14">
        <v>5</v>
      </c>
      <c r="B14">
        <v>2017</v>
      </c>
      <c r="D14" s="22">
        <v>42582</v>
      </c>
      <c r="G14" s="28">
        <v>10</v>
      </c>
      <c r="H14" s="29" cm="1">
        <f t="array" ref="H14">DATE(INDEX($B$10:$B$16,$B$7),G14,1)</f>
        <v>41548</v>
      </c>
      <c r="I14">
        <f>SUMIFS(TableTrend[positive],TableTrend[month],"="&amp;$H14)</f>
        <v>0</v>
      </c>
      <c r="J14">
        <f>SUMIFS(TableTrend[neutral],TableTrend[month],"="&amp;$H14)</f>
        <v>0</v>
      </c>
      <c r="K14">
        <f>SUMIFS(TableTrend[negative],TableTrend[month],"="&amp;$H14)</f>
        <v>0</v>
      </c>
      <c r="L14">
        <f>SUMIFS(TableTrend[total],TableTrend[month],"="&amp;$H14)</f>
        <v>0</v>
      </c>
      <c r="M14" t="str">
        <f t="shared" si="0"/>
        <v/>
      </c>
    </row>
    <row r="15" spans="1:13" x14ac:dyDescent="0.3">
      <c r="A15">
        <v>6</v>
      </c>
      <c r="B15">
        <v>2018</v>
      </c>
      <c r="D15" s="22">
        <v>42603</v>
      </c>
      <c r="G15" s="28">
        <v>11</v>
      </c>
      <c r="H15" s="29" cm="1">
        <f t="array" ref="H15">DATE(INDEX($B$10:$B$16,$B$7),G15,1)</f>
        <v>41579</v>
      </c>
      <c r="I15">
        <f>SUMIFS(TableTrend[positive],TableTrend[month],"="&amp;$H15)</f>
        <v>0</v>
      </c>
      <c r="J15">
        <f>SUMIFS(TableTrend[neutral],TableTrend[month],"="&amp;$H15)</f>
        <v>0</v>
      </c>
      <c r="K15">
        <f>SUMIFS(TableTrend[negative],TableTrend[month],"="&amp;$H15)</f>
        <v>0</v>
      </c>
      <c r="L15">
        <f>SUMIFS(TableTrend[total],TableTrend[month],"="&amp;$H15)</f>
        <v>0</v>
      </c>
      <c r="M15" t="str">
        <f t="shared" si="0"/>
        <v/>
      </c>
    </row>
    <row r="16" spans="1:13" x14ac:dyDescent="0.3">
      <c r="A16">
        <v>7</v>
      </c>
      <c r="B16">
        <v>2019</v>
      </c>
      <c r="D16" s="22">
        <v>42649</v>
      </c>
      <c r="G16" s="28">
        <v>12</v>
      </c>
      <c r="H16" s="29" cm="1">
        <f t="array" ref="H16">DATE(INDEX($B$10:$B$16,$B$7),G16,1)</f>
        <v>41609</v>
      </c>
      <c r="I16">
        <f>SUMIFS(TableTrend[positive],TableTrend[month],"="&amp;$H16)</f>
        <v>3</v>
      </c>
      <c r="J16">
        <f>SUMIFS(TableTrend[neutral],TableTrend[month],"="&amp;$H16)</f>
        <v>2</v>
      </c>
      <c r="K16">
        <f>SUMIFS(TableTrend[negative],TableTrend[month],"="&amp;$H16)</f>
        <v>1</v>
      </c>
      <c r="L16">
        <f>SUMIFS(TableTrend[total],TableTrend[month],"="&amp;$H16)</f>
        <v>6</v>
      </c>
      <c r="M16">
        <f t="shared" si="0"/>
        <v>6</v>
      </c>
    </row>
    <row r="17" spans="4:4" x14ac:dyDescent="0.3">
      <c r="D17" s="22">
        <v>42663</v>
      </c>
    </row>
    <row r="18" spans="4:4" x14ac:dyDescent="0.3">
      <c r="D18" s="22">
        <v>42681</v>
      </c>
    </row>
    <row r="19" spans="4:4" x14ac:dyDescent="0.3">
      <c r="D19" s="22">
        <v>42697</v>
      </c>
    </row>
    <row r="20" spans="4:4" x14ac:dyDescent="0.3">
      <c r="D20" s="22">
        <v>42703</v>
      </c>
    </row>
    <row r="21" spans="4:4" x14ac:dyDescent="0.3">
      <c r="D21" s="22">
        <v>42741</v>
      </c>
    </row>
    <row r="22" spans="4:4" x14ac:dyDescent="0.3">
      <c r="D22" s="22">
        <v>42751</v>
      </c>
    </row>
    <row r="23" spans="4:4" x14ac:dyDescent="0.3">
      <c r="D23" s="22">
        <v>42779</v>
      </c>
    </row>
    <row r="24" spans="4:4" x14ac:dyDescent="0.3">
      <c r="D24" s="22">
        <v>42819</v>
      </c>
    </row>
    <row r="25" spans="4:4" x14ac:dyDescent="0.3">
      <c r="D25" s="22">
        <v>42859</v>
      </c>
    </row>
    <row r="26" spans="4:4" x14ac:dyDescent="0.3">
      <c r="D26" s="22">
        <v>42936</v>
      </c>
    </row>
    <row r="27" spans="4:4" x14ac:dyDescent="0.3">
      <c r="D27" s="22">
        <v>42943</v>
      </c>
    </row>
    <row r="28" spans="4:4" x14ac:dyDescent="0.3">
      <c r="D28" s="22">
        <v>42945</v>
      </c>
    </row>
    <row r="29" spans="4:4" x14ac:dyDescent="0.3">
      <c r="D29" s="22">
        <v>42998</v>
      </c>
    </row>
    <row r="30" spans="4:4" x14ac:dyDescent="0.3">
      <c r="D30" s="22">
        <v>43004</v>
      </c>
    </row>
    <row r="31" spans="4:4" x14ac:dyDescent="0.3">
      <c r="D31" s="22">
        <v>43042</v>
      </c>
    </row>
    <row r="32" spans="4:4" x14ac:dyDescent="0.3">
      <c r="D32" s="22">
        <v>43072</v>
      </c>
    </row>
    <row r="33" spans="4:4" x14ac:dyDescent="0.3">
      <c r="D33" s="22">
        <v>43129</v>
      </c>
    </row>
    <row r="34" spans="4:4" x14ac:dyDescent="0.3">
      <c r="D34" s="22">
        <v>43143</v>
      </c>
    </row>
    <row r="35" spans="4:4" x14ac:dyDescent="0.3">
      <c r="D35" s="22">
        <v>43148</v>
      </c>
    </row>
    <row r="36" spans="4:4" x14ac:dyDescent="0.3">
      <c r="D36" s="22">
        <v>43158</v>
      </c>
    </row>
    <row r="37" spans="4:4" x14ac:dyDescent="0.3">
      <c r="D37" s="22">
        <v>43193</v>
      </c>
    </row>
    <row r="38" spans="4:4" x14ac:dyDescent="0.3">
      <c r="D38" s="22">
        <v>43220</v>
      </c>
    </row>
    <row r="39" spans="4:4" x14ac:dyDescent="0.3">
      <c r="D39" s="22">
        <v>43271</v>
      </c>
    </row>
    <row r="40" spans="4:4" x14ac:dyDescent="0.3">
      <c r="D40" s="22">
        <v>43288</v>
      </c>
    </row>
    <row r="41" spans="4:4" x14ac:dyDescent="0.3">
      <c r="D41" s="22">
        <v>43343</v>
      </c>
    </row>
    <row r="42" spans="4:4" x14ac:dyDescent="0.3">
      <c r="D42" s="22">
        <v>43422</v>
      </c>
    </row>
    <row r="43" spans="4:4" x14ac:dyDescent="0.3">
      <c r="D43" s="22">
        <v>43424</v>
      </c>
    </row>
    <row r="44" spans="4:4" x14ac:dyDescent="0.3">
      <c r="D44" s="22">
        <v>43437</v>
      </c>
    </row>
    <row r="45" spans="4:4" x14ac:dyDescent="0.3">
      <c r="D45" s="22">
        <v>43463</v>
      </c>
    </row>
    <row r="46" spans="4:4" x14ac:dyDescent="0.3">
      <c r="D46" s="22">
        <v>43472</v>
      </c>
    </row>
    <row r="47" spans="4:4" x14ac:dyDescent="0.3">
      <c r="D47" s="22">
        <v>43493</v>
      </c>
    </row>
    <row r="48" spans="4:4" x14ac:dyDescent="0.3">
      <c r="D48" s="22">
        <v>43497</v>
      </c>
    </row>
    <row r="49" spans="4:4" x14ac:dyDescent="0.3">
      <c r="D49" s="22">
        <v>43502</v>
      </c>
    </row>
    <row r="50" spans="4:4" x14ac:dyDescent="0.3">
      <c r="D50" s="22">
        <v>43518</v>
      </c>
    </row>
    <row r="51" spans="4:4" x14ac:dyDescent="0.3">
      <c r="D51" s="22">
        <v>43520</v>
      </c>
    </row>
    <row r="52" spans="4:4" x14ac:dyDescent="0.3">
      <c r="D52" s="22">
        <v>43522</v>
      </c>
    </row>
    <row r="53" spans="4:4" x14ac:dyDescent="0.3">
      <c r="D53" s="22">
        <v>43537</v>
      </c>
    </row>
    <row r="54" spans="4:4" x14ac:dyDescent="0.3">
      <c r="D54" s="22">
        <v>43540</v>
      </c>
    </row>
    <row r="55" spans="4:4" x14ac:dyDescent="0.3">
      <c r="D55" s="22">
        <v>43551</v>
      </c>
    </row>
    <row r="56" spans="4:4" x14ac:dyDescent="0.3">
      <c r="D56" s="22">
        <v>43557</v>
      </c>
    </row>
    <row r="57" spans="4:4" x14ac:dyDescent="0.3">
      <c r="D57" s="22">
        <v>43558</v>
      </c>
    </row>
    <row r="58" spans="4:4" x14ac:dyDescent="0.3">
      <c r="D58" s="22">
        <v>43600</v>
      </c>
    </row>
    <row r="59" spans="4:4" x14ac:dyDescent="0.3">
      <c r="D59" s="22">
        <v>43601</v>
      </c>
    </row>
    <row r="60" spans="4:4" x14ac:dyDescent="0.3">
      <c r="D60" s="22">
        <v>43602</v>
      </c>
    </row>
    <row r="61" spans="4:4" x14ac:dyDescent="0.3">
      <c r="D61" s="22">
        <v>43621</v>
      </c>
    </row>
    <row r="62" spans="4:4" x14ac:dyDescent="0.3">
      <c r="D62" s="22">
        <v>43629</v>
      </c>
    </row>
    <row r="63" spans="4:4" x14ac:dyDescent="0.3">
      <c r="D63" s="22">
        <v>43638</v>
      </c>
    </row>
    <row r="64" spans="4:4" x14ac:dyDescent="0.3">
      <c r="D64" s="22">
        <v>43679</v>
      </c>
    </row>
    <row r="65" spans="4:4" x14ac:dyDescent="0.3">
      <c r="D65" s="22">
        <v>43688</v>
      </c>
    </row>
    <row r="66" spans="4:4" x14ac:dyDescent="0.3">
      <c r="D66" s="22">
        <v>43689</v>
      </c>
    </row>
    <row r="67" spans="4:4" x14ac:dyDescent="0.3">
      <c r="D67" s="22">
        <v>43703</v>
      </c>
    </row>
    <row r="68" spans="4:4" x14ac:dyDescent="0.3">
      <c r="D68" s="22">
        <v>43704</v>
      </c>
    </row>
    <row r="69" spans="4:4" x14ac:dyDescent="0.3">
      <c r="D69" s="22">
        <v>43705</v>
      </c>
    </row>
    <row r="70" spans="4:4" x14ac:dyDescent="0.3">
      <c r="D70" s="22">
        <v>43746</v>
      </c>
    </row>
    <row r="71" spans="4:4" x14ac:dyDescent="0.3">
      <c r="D71" s="22">
        <v>43751</v>
      </c>
    </row>
    <row r="72" spans="4:4" x14ac:dyDescent="0.3">
      <c r="D72" s="22">
        <v>43762</v>
      </c>
    </row>
    <row r="73" spans="4:4" x14ac:dyDescent="0.3">
      <c r="D73" s="22">
        <v>43765</v>
      </c>
    </row>
    <row r="74" spans="4:4" x14ac:dyDescent="0.3">
      <c r="D74" s="22">
        <v>43774</v>
      </c>
    </row>
    <row r="75" spans="4:4" x14ac:dyDescent="0.3">
      <c r="D75" s="22">
        <v>43775</v>
      </c>
    </row>
    <row r="76" spans="4:4" x14ac:dyDescent="0.3">
      <c r="D76" s="22">
        <v>43777</v>
      </c>
    </row>
    <row r="77" spans="4:4" x14ac:dyDescent="0.3">
      <c r="D77" s="22">
        <v>43783</v>
      </c>
    </row>
    <row r="78" spans="4:4" x14ac:dyDescent="0.3">
      <c r="D78" s="22">
        <v>43807</v>
      </c>
    </row>
    <row r="79" spans="4:4" x14ac:dyDescent="0.3">
      <c r="D79" s="22">
        <v>43811</v>
      </c>
    </row>
    <row r="80" spans="4:4" x14ac:dyDescent="0.3">
      <c r="D80" s="22">
        <v>43813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BZ62"/>
  <sheetViews>
    <sheetView workbookViewId="0">
      <selection activeCell="A22" sqref="A22:A30"/>
    </sheetView>
  </sheetViews>
  <sheetFormatPr defaultRowHeight="14.4" x14ac:dyDescent="0.3"/>
  <cols>
    <col min="1" max="1" width="12.6640625" customWidth="1"/>
    <col min="2" max="2" width="13.21875" customWidth="1"/>
    <col min="4" max="4" width="17.88671875" customWidth="1"/>
    <col min="5" max="5" width="17.77734375" customWidth="1"/>
    <col min="6" max="8" width="11.6640625" customWidth="1"/>
    <col min="10" max="10" width="12.6640625" customWidth="1"/>
    <col min="11" max="11" width="13.21875" customWidth="1"/>
    <col min="13" max="13" width="17.88671875" customWidth="1"/>
    <col min="14" max="14" width="17.77734375" customWidth="1"/>
    <col min="19" max="19" width="12.6640625" customWidth="1"/>
    <col min="20" max="20" width="13.21875" customWidth="1"/>
    <col min="22" max="22" width="17.88671875" customWidth="1"/>
    <col min="23" max="23" width="17.77734375" customWidth="1"/>
    <col min="28" max="28" width="12.6640625" customWidth="1"/>
    <col min="29" max="29" width="13.21875" customWidth="1"/>
    <col min="31" max="31" width="17.88671875" customWidth="1"/>
    <col min="32" max="32" width="17.77734375" customWidth="1"/>
    <col min="37" max="37" width="12.6640625" customWidth="1"/>
    <col min="38" max="38" width="13.21875" customWidth="1"/>
    <col min="40" max="40" width="17.88671875" customWidth="1"/>
    <col min="41" max="41" width="17.77734375" customWidth="1"/>
    <col min="46" max="46" width="12.6640625" customWidth="1"/>
    <col min="47" max="47" width="13.21875" customWidth="1"/>
    <col min="49" max="49" width="17.88671875" customWidth="1"/>
    <col min="50" max="50" width="17.77734375" customWidth="1"/>
    <col min="55" max="55" width="12.6640625" customWidth="1"/>
    <col min="56" max="56" width="13.21875" customWidth="1"/>
    <col min="58" max="58" width="17.88671875" customWidth="1"/>
    <col min="59" max="59" width="17.77734375" customWidth="1"/>
    <col min="64" max="64" width="11" customWidth="1"/>
    <col min="65" max="65" width="13.21875" customWidth="1"/>
    <col min="68" max="68" width="17.77734375" customWidth="1"/>
    <col min="73" max="73" width="11" customWidth="1"/>
    <col min="74" max="74" width="13.21875" customWidth="1"/>
    <col min="77" max="77" width="17.77734375" customWidth="1"/>
  </cols>
  <sheetData>
    <row r="2" spans="1:78" x14ac:dyDescent="0.3">
      <c r="A2" s="6" t="s">
        <v>81</v>
      </c>
      <c r="B2" s="6" t="s">
        <v>2</v>
      </c>
      <c r="C2" s="6" t="s">
        <v>3</v>
      </c>
      <c r="D2" s="6" t="s">
        <v>85</v>
      </c>
      <c r="E2" s="6" t="s">
        <v>4</v>
      </c>
      <c r="F2" s="6" t="s">
        <v>5</v>
      </c>
      <c r="G2" s="32"/>
      <c r="H2" s="32"/>
      <c r="J2" s="6" t="s">
        <v>81</v>
      </c>
      <c r="K2" s="6" t="s">
        <v>2</v>
      </c>
      <c r="L2" s="6" t="s">
        <v>3</v>
      </c>
      <c r="M2" s="6" t="s">
        <v>85</v>
      </c>
      <c r="N2" s="6" t="s">
        <v>4</v>
      </c>
      <c r="O2" s="6" t="s">
        <v>5</v>
      </c>
      <c r="P2" s="32"/>
      <c r="Q2" s="32"/>
      <c r="S2" s="6" t="s">
        <v>81</v>
      </c>
      <c r="T2" s="6" t="s">
        <v>2</v>
      </c>
      <c r="U2" s="6" t="s">
        <v>3</v>
      </c>
      <c r="V2" s="6" t="s">
        <v>85</v>
      </c>
      <c r="W2" s="6" t="s">
        <v>4</v>
      </c>
      <c r="X2" s="6" t="s">
        <v>5</v>
      </c>
      <c r="Y2" s="32"/>
      <c r="Z2" s="32"/>
      <c r="AB2" s="6" t="s">
        <v>81</v>
      </c>
      <c r="AC2" s="6" t="s">
        <v>2</v>
      </c>
      <c r="AD2" s="6" t="s">
        <v>3</v>
      </c>
      <c r="AE2" s="6" t="s">
        <v>85</v>
      </c>
      <c r="AF2" s="6" t="s">
        <v>4</v>
      </c>
      <c r="AG2" s="6" t="s">
        <v>5</v>
      </c>
      <c r="AH2" s="32"/>
      <c r="AI2" s="32"/>
      <c r="AK2" s="6" t="s">
        <v>81</v>
      </c>
      <c r="AL2" s="6" t="s">
        <v>2</v>
      </c>
      <c r="AM2" s="6" t="s">
        <v>3</v>
      </c>
      <c r="AN2" s="6" t="s">
        <v>85</v>
      </c>
      <c r="AO2" s="6" t="s">
        <v>4</v>
      </c>
      <c r="AP2" s="6" t="s">
        <v>5</v>
      </c>
      <c r="AQ2" s="32"/>
      <c r="AR2" s="32"/>
      <c r="AT2" s="6" t="s">
        <v>81</v>
      </c>
      <c r="AU2" s="6" t="s">
        <v>2</v>
      </c>
      <c r="AV2" s="6" t="s">
        <v>3</v>
      </c>
      <c r="AW2" s="6" t="s">
        <v>85</v>
      </c>
      <c r="AX2" s="6" t="s">
        <v>4</v>
      </c>
      <c r="AY2" s="6" t="s">
        <v>5</v>
      </c>
      <c r="AZ2" s="32"/>
      <c r="BA2" s="32"/>
      <c r="BC2" s="6" t="s">
        <v>81</v>
      </c>
      <c r="BD2" s="6" t="s">
        <v>2</v>
      </c>
      <c r="BE2" s="6" t="s">
        <v>3</v>
      </c>
      <c r="BF2" s="6" t="s">
        <v>85</v>
      </c>
      <c r="BG2" s="6" t="s">
        <v>4</v>
      </c>
      <c r="BH2" s="6" t="s">
        <v>5</v>
      </c>
      <c r="BL2" s="21" t="s">
        <v>81</v>
      </c>
      <c r="BM2" s="21" t="s">
        <v>2</v>
      </c>
      <c r="BN2" s="21" t="s">
        <v>3</v>
      </c>
      <c r="BO2" s="21" t="s">
        <v>85</v>
      </c>
      <c r="BP2" s="21" t="s">
        <v>4</v>
      </c>
      <c r="BQ2" s="21" t="s">
        <v>5</v>
      </c>
      <c r="BU2" s="21" t="s">
        <v>81</v>
      </c>
      <c r="BV2" s="21" t="s">
        <v>2</v>
      </c>
      <c r="BW2" s="21" t="s">
        <v>3</v>
      </c>
      <c r="BX2" s="21" t="s">
        <v>85</v>
      </c>
      <c r="BY2" s="21" t="s">
        <v>4</v>
      </c>
      <c r="BZ2" s="21" t="s">
        <v>5</v>
      </c>
    </row>
    <row r="3" spans="1:78" x14ac:dyDescent="0.3">
      <c r="A3">
        <v>66</v>
      </c>
      <c r="B3" t="s">
        <v>86</v>
      </c>
      <c r="C3">
        <v>5</v>
      </c>
      <c r="D3" t="s">
        <v>87</v>
      </c>
      <c r="E3" t="s">
        <v>88</v>
      </c>
      <c r="F3" t="s">
        <v>89</v>
      </c>
      <c r="J3">
        <v>41</v>
      </c>
      <c r="K3" t="s">
        <v>131</v>
      </c>
      <c r="L3">
        <v>5</v>
      </c>
      <c r="M3" t="s">
        <v>132</v>
      </c>
      <c r="N3" t="s">
        <v>133</v>
      </c>
      <c r="O3" t="s">
        <v>134</v>
      </c>
      <c r="S3">
        <v>18</v>
      </c>
      <c r="T3" t="s">
        <v>161</v>
      </c>
      <c r="U3">
        <v>5</v>
      </c>
      <c r="V3" t="s">
        <v>162</v>
      </c>
      <c r="W3" t="s">
        <v>163</v>
      </c>
      <c r="X3" t="s">
        <v>164</v>
      </c>
      <c r="AB3">
        <v>19</v>
      </c>
      <c r="AC3" t="s">
        <v>175</v>
      </c>
      <c r="AD3">
        <v>1</v>
      </c>
      <c r="AE3" t="s">
        <v>176</v>
      </c>
      <c r="AF3" t="s">
        <v>177</v>
      </c>
      <c r="AG3" t="s">
        <v>178</v>
      </c>
      <c r="AK3">
        <v>30</v>
      </c>
      <c r="AL3" t="s">
        <v>90</v>
      </c>
      <c r="AM3">
        <v>2</v>
      </c>
      <c r="AN3" t="s">
        <v>91</v>
      </c>
      <c r="AO3" t="s">
        <v>92</v>
      </c>
      <c r="AP3" t="s">
        <v>171</v>
      </c>
      <c r="AT3">
        <v>58</v>
      </c>
      <c r="AU3" t="s">
        <v>244</v>
      </c>
      <c r="AV3">
        <v>3</v>
      </c>
      <c r="AW3" t="s">
        <v>245</v>
      </c>
      <c r="AX3" t="s">
        <v>246</v>
      </c>
      <c r="AY3" t="s">
        <v>6</v>
      </c>
      <c r="BC3">
        <v>70</v>
      </c>
      <c r="BD3" t="s">
        <v>300</v>
      </c>
      <c r="BE3">
        <v>5</v>
      </c>
      <c r="BF3" t="s">
        <v>301</v>
      </c>
      <c r="BG3" t="s">
        <v>302</v>
      </c>
      <c r="BH3" t="s">
        <v>303</v>
      </c>
      <c r="BL3">
        <v>62</v>
      </c>
      <c r="BM3" t="s">
        <v>247</v>
      </c>
      <c r="BN3">
        <v>5</v>
      </c>
      <c r="BO3" t="s">
        <v>248</v>
      </c>
      <c r="BP3" t="s">
        <v>249</v>
      </c>
      <c r="BQ3" t="s">
        <v>7</v>
      </c>
      <c r="BU3">
        <v>70</v>
      </c>
      <c r="BV3" t="s">
        <v>300</v>
      </c>
      <c r="BW3">
        <v>5</v>
      </c>
      <c r="BX3" t="s">
        <v>301</v>
      </c>
      <c r="BY3" t="s">
        <v>302</v>
      </c>
      <c r="BZ3" t="s">
        <v>313</v>
      </c>
    </row>
    <row r="4" spans="1:78" x14ac:dyDescent="0.3">
      <c r="A4">
        <v>30</v>
      </c>
      <c r="B4" t="s">
        <v>90</v>
      </c>
      <c r="C4">
        <v>2</v>
      </c>
      <c r="D4" t="s">
        <v>91</v>
      </c>
      <c r="E4" t="s">
        <v>92</v>
      </c>
      <c r="F4" t="s">
        <v>89</v>
      </c>
      <c r="J4">
        <v>68</v>
      </c>
      <c r="K4" t="s">
        <v>96</v>
      </c>
      <c r="L4">
        <v>5</v>
      </c>
      <c r="M4" t="s">
        <v>135</v>
      </c>
      <c r="N4" t="s">
        <v>136</v>
      </c>
      <c r="O4" t="s">
        <v>134</v>
      </c>
      <c r="S4">
        <v>33</v>
      </c>
      <c r="T4" t="s">
        <v>165</v>
      </c>
      <c r="U4">
        <v>1</v>
      </c>
      <c r="V4" t="s">
        <v>166</v>
      </c>
      <c r="W4" t="s">
        <v>167</v>
      </c>
      <c r="X4" t="s">
        <v>164</v>
      </c>
      <c r="AB4">
        <v>94</v>
      </c>
      <c r="AC4" t="s">
        <v>179</v>
      </c>
      <c r="AD4">
        <v>1</v>
      </c>
      <c r="AE4" t="s">
        <v>180</v>
      </c>
      <c r="AF4" t="s">
        <v>181</v>
      </c>
      <c r="AG4" t="s">
        <v>178</v>
      </c>
      <c r="AK4">
        <v>68</v>
      </c>
      <c r="AL4" t="s">
        <v>96</v>
      </c>
      <c r="AM4">
        <v>5</v>
      </c>
      <c r="AN4" t="s">
        <v>135</v>
      </c>
      <c r="AO4" t="s">
        <v>136</v>
      </c>
      <c r="AP4" t="s">
        <v>171</v>
      </c>
      <c r="AT4">
        <v>94</v>
      </c>
      <c r="AU4" t="s">
        <v>179</v>
      </c>
      <c r="AV4">
        <v>1</v>
      </c>
      <c r="AW4" t="s">
        <v>180</v>
      </c>
      <c r="AX4" t="s">
        <v>181</v>
      </c>
      <c r="AY4" t="s">
        <v>6</v>
      </c>
      <c r="BC4">
        <v>41</v>
      </c>
      <c r="BD4" t="s">
        <v>131</v>
      </c>
      <c r="BE4">
        <v>5</v>
      </c>
      <c r="BF4" t="s">
        <v>132</v>
      </c>
      <c r="BG4" t="s">
        <v>133</v>
      </c>
      <c r="BH4" t="s">
        <v>303</v>
      </c>
      <c r="BL4">
        <v>30</v>
      </c>
      <c r="BM4" t="s">
        <v>90</v>
      </c>
      <c r="BN4">
        <v>2</v>
      </c>
      <c r="BO4" t="s">
        <v>91</v>
      </c>
      <c r="BP4" t="s">
        <v>92</v>
      </c>
      <c r="BQ4" t="s">
        <v>7</v>
      </c>
      <c r="BU4">
        <v>41</v>
      </c>
      <c r="BV4" t="s">
        <v>131</v>
      </c>
      <c r="BW4">
        <v>5</v>
      </c>
      <c r="BX4" t="s">
        <v>132</v>
      </c>
      <c r="BY4" t="s">
        <v>133</v>
      </c>
      <c r="BZ4" t="s">
        <v>313</v>
      </c>
    </row>
    <row r="5" spans="1:78" x14ac:dyDescent="0.3">
      <c r="A5">
        <v>13</v>
      </c>
      <c r="B5" t="s">
        <v>93</v>
      </c>
      <c r="C5">
        <v>1</v>
      </c>
      <c r="D5" t="s">
        <v>94</v>
      </c>
      <c r="E5" t="s">
        <v>95</v>
      </c>
      <c r="F5" t="s">
        <v>89</v>
      </c>
      <c r="J5">
        <v>48</v>
      </c>
      <c r="K5" t="s">
        <v>137</v>
      </c>
      <c r="L5">
        <v>1</v>
      </c>
      <c r="M5" t="s">
        <v>138</v>
      </c>
      <c r="N5" t="s">
        <v>139</v>
      </c>
      <c r="O5" t="s">
        <v>134</v>
      </c>
      <c r="S5">
        <v>98</v>
      </c>
      <c r="T5" t="s">
        <v>143</v>
      </c>
      <c r="U5">
        <v>4</v>
      </c>
      <c r="V5" t="s">
        <v>144</v>
      </c>
      <c r="W5" t="s">
        <v>145</v>
      </c>
      <c r="X5" t="s">
        <v>164</v>
      </c>
      <c r="AB5">
        <v>30</v>
      </c>
      <c r="AC5" t="s">
        <v>90</v>
      </c>
      <c r="AD5">
        <v>2</v>
      </c>
      <c r="AE5" t="s">
        <v>91</v>
      </c>
      <c r="AF5" t="s">
        <v>92</v>
      </c>
      <c r="AG5" t="s">
        <v>178</v>
      </c>
      <c r="AK5">
        <v>50</v>
      </c>
      <c r="AL5" t="s">
        <v>172</v>
      </c>
      <c r="AM5">
        <v>5</v>
      </c>
      <c r="AN5" t="s">
        <v>173</v>
      </c>
      <c r="AO5" t="s">
        <v>174</v>
      </c>
      <c r="AP5" t="s">
        <v>171</v>
      </c>
      <c r="AT5">
        <v>62</v>
      </c>
      <c r="AU5" t="s">
        <v>247</v>
      </c>
      <c r="AV5">
        <v>5</v>
      </c>
      <c r="AW5" t="s">
        <v>248</v>
      </c>
      <c r="AX5" t="s">
        <v>249</v>
      </c>
      <c r="AY5" t="s">
        <v>6</v>
      </c>
      <c r="BC5">
        <v>37</v>
      </c>
      <c r="BD5" t="s">
        <v>194</v>
      </c>
      <c r="BE5">
        <v>5</v>
      </c>
      <c r="BF5" t="s">
        <v>195</v>
      </c>
      <c r="BG5" t="s">
        <v>196</v>
      </c>
      <c r="BH5" t="s">
        <v>303</v>
      </c>
      <c r="BL5">
        <v>68</v>
      </c>
      <c r="BM5" t="s">
        <v>96</v>
      </c>
      <c r="BN5">
        <v>5</v>
      </c>
      <c r="BO5" t="s">
        <v>135</v>
      </c>
      <c r="BP5" t="s">
        <v>136</v>
      </c>
      <c r="BQ5" t="s">
        <v>7</v>
      </c>
      <c r="BU5">
        <v>30</v>
      </c>
      <c r="BV5" t="s">
        <v>90</v>
      </c>
      <c r="BW5">
        <v>2</v>
      </c>
      <c r="BX5" t="s">
        <v>91</v>
      </c>
      <c r="BY5" t="s">
        <v>92</v>
      </c>
      <c r="BZ5" t="s">
        <v>313</v>
      </c>
    </row>
    <row r="6" spans="1:78" x14ac:dyDescent="0.3">
      <c r="A6">
        <v>72</v>
      </c>
      <c r="B6" t="s">
        <v>96</v>
      </c>
      <c r="C6">
        <v>5</v>
      </c>
      <c r="D6" t="s">
        <v>97</v>
      </c>
      <c r="E6" t="s">
        <v>98</v>
      </c>
      <c r="F6" t="s">
        <v>89</v>
      </c>
      <c r="J6">
        <v>7</v>
      </c>
      <c r="K6" t="s">
        <v>140</v>
      </c>
      <c r="L6">
        <v>2</v>
      </c>
      <c r="M6" t="s">
        <v>141</v>
      </c>
      <c r="N6" t="s">
        <v>142</v>
      </c>
      <c r="O6" t="s">
        <v>134</v>
      </c>
      <c r="S6">
        <v>76</v>
      </c>
      <c r="T6" t="s">
        <v>168</v>
      </c>
      <c r="U6">
        <v>2</v>
      </c>
      <c r="V6" t="s">
        <v>169</v>
      </c>
      <c r="W6" t="s">
        <v>170</v>
      </c>
      <c r="X6" t="s">
        <v>164</v>
      </c>
      <c r="AB6">
        <v>91</v>
      </c>
      <c r="AC6" t="s">
        <v>182</v>
      </c>
      <c r="AD6">
        <v>2</v>
      </c>
      <c r="AE6" t="s">
        <v>183</v>
      </c>
      <c r="AF6" t="s">
        <v>184</v>
      </c>
      <c r="AG6" t="s">
        <v>178</v>
      </c>
      <c r="AL6" s="7"/>
      <c r="AT6">
        <v>24</v>
      </c>
      <c r="AU6" t="s">
        <v>250</v>
      </c>
      <c r="AV6">
        <v>4</v>
      </c>
      <c r="AW6" t="s">
        <v>251</v>
      </c>
      <c r="AX6" t="s">
        <v>252</v>
      </c>
      <c r="AY6" t="s">
        <v>6</v>
      </c>
      <c r="BC6">
        <v>65</v>
      </c>
      <c r="BD6" t="s">
        <v>304</v>
      </c>
      <c r="BE6">
        <v>3</v>
      </c>
      <c r="BF6" t="s">
        <v>305</v>
      </c>
      <c r="BG6" t="s">
        <v>306</v>
      </c>
      <c r="BH6" t="s">
        <v>303</v>
      </c>
      <c r="BL6">
        <v>8</v>
      </c>
      <c r="BM6" t="s">
        <v>272</v>
      </c>
      <c r="BN6">
        <v>5</v>
      </c>
      <c r="BO6" t="s">
        <v>273</v>
      </c>
      <c r="BP6" t="s">
        <v>274</v>
      </c>
      <c r="BQ6" t="s">
        <v>7</v>
      </c>
      <c r="BU6">
        <v>25</v>
      </c>
      <c r="BV6" t="s">
        <v>314</v>
      </c>
      <c r="BW6">
        <v>4</v>
      </c>
      <c r="BX6" t="s">
        <v>315</v>
      </c>
      <c r="BY6" t="s">
        <v>316</v>
      </c>
      <c r="BZ6" t="s">
        <v>313</v>
      </c>
    </row>
    <row r="7" spans="1:78" x14ac:dyDescent="0.3">
      <c r="A7">
        <v>43</v>
      </c>
      <c r="B7" t="s">
        <v>99</v>
      </c>
      <c r="C7">
        <v>2</v>
      </c>
      <c r="D7" t="s">
        <v>100</v>
      </c>
      <c r="E7" t="s">
        <v>88</v>
      </c>
      <c r="F7" t="s">
        <v>89</v>
      </c>
      <c r="J7">
        <v>98</v>
      </c>
      <c r="K7" t="s">
        <v>143</v>
      </c>
      <c r="L7">
        <v>4</v>
      </c>
      <c r="M7" t="s">
        <v>144</v>
      </c>
      <c r="N7" t="s">
        <v>145</v>
      </c>
      <c r="O7" t="s">
        <v>134</v>
      </c>
      <c r="S7">
        <v>4</v>
      </c>
      <c r="T7" t="s">
        <v>152</v>
      </c>
      <c r="U7">
        <v>1</v>
      </c>
      <c r="V7" t="s">
        <v>153</v>
      </c>
      <c r="W7" t="s">
        <v>154</v>
      </c>
      <c r="X7" t="s">
        <v>164</v>
      </c>
      <c r="AB7">
        <v>12</v>
      </c>
      <c r="AC7" t="s">
        <v>185</v>
      </c>
      <c r="AD7">
        <v>1</v>
      </c>
      <c r="AE7" t="s">
        <v>186</v>
      </c>
      <c r="AF7" t="s">
        <v>187</v>
      </c>
      <c r="AG7" t="s">
        <v>178</v>
      </c>
      <c r="AT7">
        <v>44</v>
      </c>
      <c r="AU7" t="s">
        <v>253</v>
      </c>
      <c r="AV7">
        <v>1</v>
      </c>
      <c r="AW7" t="s">
        <v>254</v>
      </c>
      <c r="AX7" t="s">
        <v>255</v>
      </c>
      <c r="AY7" t="s">
        <v>6</v>
      </c>
      <c r="BC7">
        <v>47</v>
      </c>
      <c r="BD7" t="s">
        <v>289</v>
      </c>
      <c r="BE7">
        <v>1</v>
      </c>
      <c r="BF7" t="s">
        <v>290</v>
      </c>
      <c r="BG7" t="s">
        <v>291</v>
      </c>
      <c r="BH7" t="s">
        <v>303</v>
      </c>
      <c r="BL7">
        <v>15</v>
      </c>
      <c r="BM7" t="s">
        <v>307</v>
      </c>
      <c r="BN7">
        <v>5</v>
      </c>
      <c r="BO7" t="s">
        <v>308</v>
      </c>
      <c r="BP7" t="s">
        <v>309</v>
      </c>
      <c r="BQ7" t="s">
        <v>7</v>
      </c>
      <c r="BU7">
        <v>8</v>
      </c>
      <c r="BV7" t="s">
        <v>272</v>
      </c>
      <c r="BW7">
        <v>5</v>
      </c>
      <c r="BX7" t="s">
        <v>273</v>
      </c>
      <c r="BY7" t="s">
        <v>274</v>
      </c>
      <c r="BZ7" t="s">
        <v>313</v>
      </c>
    </row>
    <row r="8" spans="1:78" x14ac:dyDescent="0.3">
      <c r="A8">
        <v>23</v>
      </c>
      <c r="B8" t="s">
        <v>101</v>
      </c>
      <c r="C8">
        <v>4</v>
      </c>
      <c r="D8" t="s">
        <v>102</v>
      </c>
      <c r="E8" t="s">
        <v>103</v>
      </c>
      <c r="F8" t="s">
        <v>89</v>
      </c>
      <c r="J8">
        <v>46</v>
      </c>
      <c r="K8" t="s">
        <v>146</v>
      </c>
      <c r="L8">
        <v>4</v>
      </c>
      <c r="M8" t="s">
        <v>147</v>
      </c>
      <c r="N8" t="s">
        <v>148</v>
      </c>
      <c r="O8" t="s">
        <v>134</v>
      </c>
      <c r="S8">
        <v>16</v>
      </c>
      <c r="T8" t="s">
        <v>155</v>
      </c>
      <c r="U8">
        <v>1</v>
      </c>
      <c r="V8" t="s">
        <v>156</v>
      </c>
      <c r="W8" t="s">
        <v>157</v>
      </c>
      <c r="X8" t="s">
        <v>164</v>
      </c>
      <c r="AB8">
        <v>89</v>
      </c>
      <c r="AC8" t="s">
        <v>188</v>
      </c>
      <c r="AD8">
        <v>5</v>
      </c>
      <c r="AE8" t="s">
        <v>189</v>
      </c>
      <c r="AF8" t="s">
        <v>190</v>
      </c>
      <c r="AG8" t="s">
        <v>178</v>
      </c>
      <c r="AT8">
        <v>26</v>
      </c>
      <c r="AU8" t="s">
        <v>256</v>
      </c>
      <c r="AV8">
        <v>5</v>
      </c>
      <c r="AW8" t="s">
        <v>257</v>
      </c>
      <c r="AX8" t="s">
        <v>258</v>
      </c>
      <c r="AY8" t="s">
        <v>6</v>
      </c>
      <c r="BC8">
        <v>60</v>
      </c>
      <c r="BD8" t="s">
        <v>233</v>
      </c>
      <c r="BE8">
        <v>5</v>
      </c>
      <c r="BF8" t="s">
        <v>236</v>
      </c>
      <c r="BG8" t="s">
        <v>237</v>
      </c>
      <c r="BH8" t="s">
        <v>303</v>
      </c>
      <c r="BL8">
        <v>46</v>
      </c>
      <c r="BM8" t="s">
        <v>146</v>
      </c>
      <c r="BN8">
        <v>4</v>
      </c>
      <c r="BO8" t="s">
        <v>147</v>
      </c>
      <c r="BP8" t="s">
        <v>148</v>
      </c>
      <c r="BQ8" t="s">
        <v>7</v>
      </c>
      <c r="BU8">
        <v>74</v>
      </c>
      <c r="BV8" t="s">
        <v>281</v>
      </c>
      <c r="BW8">
        <v>5</v>
      </c>
      <c r="BX8" t="s">
        <v>282</v>
      </c>
      <c r="BY8" t="s">
        <v>283</v>
      </c>
      <c r="BZ8" t="s">
        <v>313</v>
      </c>
    </row>
    <row r="9" spans="1:78" x14ac:dyDescent="0.3">
      <c r="A9">
        <v>17</v>
      </c>
      <c r="B9" t="s">
        <v>104</v>
      </c>
      <c r="C9">
        <v>1</v>
      </c>
      <c r="D9" t="s">
        <v>105</v>
      </c>
      <c r="E9" t="s">
        <v>106</v>
      </c>
      <c r="F9" t="s">
        <v>89</v>
      </c>
      <c r="J9">
        <v>67</v>
      </c>
      <c r="K9" t="s">
        <v>149</v>
      </c>
      <c r="L9">
        <v>1</v>
      </c>
      <c r="M9" t="s">
        <v>150</v>
      </c>
      <c r="N9" t="s">
        <v>151</v>
      </c>
      <c r="O9" t="s">
        <v>134</v>
      </c>
      <c r="S9">
        <v>87</v>
      </c>
      <c r="T9" t="s">
        <v>158</v>
      </c>
      <c r="U9">
        <v>2</v>
      </c>
      <c r="V9" t="s">
        <v>159</v>
      </c>
      <c r="W9" t="s">
        <v>160</v>
      </c>
      <c r="X9" t="s">
        <v>164</v>
      </c>
      <c r="AB9">
        <v>3</v>
      </c>
      <c r="AC9" t="s">
        <v>191</v>
      </c>
      <c r="AD9">
        <v>3</v>
      </c>
      <c r="AE9" t="s">
        <v>192</v>
      </c>
      <c r="AF9" t="s">
        <v>193</v>
      </c>
      <c r="AG9" t="s">
        <v>178</v>
      </c>
      <c r="AT9">
        <v>30</v>
      </c>
      <c r="AU9" t="s">
        <v>90</v>
      </c>
      <c r="AV9">
        <v>2</v>
      </c>
      <c r="AW9" t="s">
        <v>91</v>
      </c>
      <c r="AX9" t="s">
        <v>92</v>
      </c>
      <c r="AY9" t="s">
        <v>6</v>
      </c>
      <c r="BD9" s="7"/>
      <c r="BL9">
        <v>9</v>
      </c>
      <c r="BM9" t="s">
        <v>310</v>
      </c>
      <c r="BN9">
        <v>5</v>
      </c>
      <c r="BO9" t="s">
        <v>311</v>
      </c>
      <c r="BP9" t="s">
        <v>312</v>
      </c>
      <c r="BQ9" t="s">
        <v>7</v>
      </c>
      <c r="BU9">
        <v>23</v>
      </c>
      <c r="BV9" t="s">
        <v>101</v>
      </c>
      <c r="BW9">
        <v>4</v>
      </c>
      <c r="BX9" t="s">
        <v>102</v>
      </c>
      <c r="BY9" t="s">
        <v>103</v>
      </c>
      <c r="BZ9" t="s">
        <v>313</v>
      </c>
    </row>
    <row r="10" spans="1:78" x14ac:dyDescent="0.3">
      <c r="A10">
        <v>29</v>
      </c>
      <c r="B10" t="s">
        <v>107</v>
      </c>
      <c r="C10">
        <v>5</v>
      </c>
      <c r="D10" t="s">
        <v>108</v>
      </c>
      <c r="E10" t="s">
        <v>109</v>
      </c>
      <c r="F10" t="s">
        <v>89</v>
      </c>
      <c r="J10">
        <v>4</v>
      </c>
      <c r="K10" t="s">
        <v>152</v>
      </c>
      <c r="L10">
        <v>1</v>
      </c>
      <c r="M10" t="s">
        <v>153</v>
      </c>
      <c r="N10" t="s">
        <v>154</v>
      </c>
      <c r="O10" t="s">
        <v>134</v>
      </c>
      <c r="T10" s="7"/>
      <c r="AB10">
        <v>37</v>
      </c>
      <c r="AC10" t="s">
        <v>194</v>
      </c>
      <c r="AD10">
        <v>5</v>
      </c>
      <c r="AE10" t="s">
        <v>195</v>
      </c>
      <c r="AF10" t="s">
        <v>196</v>
      </c>
      <c r="AG10" t="s">
        <v>178</v>
      </c>
      <c r="AT10">
        <v>91</v>
      </c>
      <c r="AU10" t="s">
        <v>182</v>
      </c>
      <c r="AV10">
        <v>2</v>
      </c>
      <c r="AW10" t="s">
        <v>183</v>
      </c>
      <c r="AX10" t="s">
        <v>184</v>
      </c>
      <c r="AY10" t="s">
        <v>6</v>
      </c>
      <c r="BD10" s="7"/>
      <c r="BL10">
        <v>88</v>
      </c>
      <c r="BM10" t="s">
        <v>292</v>
      </c>
      <c r="BN10">
        <v>5</v>
      </c>
      <c r="BO10" t="s">
        <v>293</v>
      </c>
      <c r="BP10" t="s">
        <v>294</v>
      </c>
      <c r="BQ10" t="s">
        <v>7</v>
      </c>
      <c r="BU10">
        <v>57</v>
      </c>
      <c r="BV10" t="s">
        <v>209</v>
      </c>
      <c r="BW10">
        <v>5</v>
      </c>
      <c r="BX10" t="s">
        <v>210</v>
      </c>
      <c r="BY10" t="s">
        <v>211</v>
      </c>
      <c r="BZ10" t="s">
        <v>313</v>
      </c>
    </row>
    <row r="11" spans="1:78" x14ac:dyDescent="0.3">
      <c r="A11">
        <v>11</v>
      </c>
      <c r="B11" t="s">
        <v>110</v>
      </c>
      <c r="C11">
        <v>5</v>
      </c>
      <c r="D11" t="s">
        <v>111</v>
      </c>
      <c r="E11" t="s">
        <v>88</v>
      </c>
      <c r="F11" t="s">
        <v>89</v>
      </c>
      <c r="J11">
        <v>16</v>
      </c>
      <c r="K11" t="s">
        <v>155</v>
      </c>
      <c r="L11">
        <v>1</v>
      </c>
      <c r="M11" t="s">
        <v>156</v>
      </c>
      <c r="N11" t="s">
        <v>157</v>
      </c>
      <c r="O11" t="s">
        <v>134</v>
      </c>
      <c r="T11" s="7"/>
      <c r="AB11">
        <v>33</v>
      </c>
      <c r="AC11" t="s">
        <v>165</v>
      </c>
      <c r="AD11">
        <v>1</v>
      </c>
      <c r="AE11" t="s">
        <v>166</v>
      </c>
      <c r="AF11" t="s">
        <v>167</v>
      </c>
      <c r="AG11" t="s">
        <v>178</v>
      </c>
      <c r="AT11">
        <v>38</v>
      </c>
      <c r="AU11" t="s">
        <v>259</v>
      </c>
      <c r="AV11">
        <v>5</v>
      </c>
      <c r="AW11" t="s">
        <v>260</v>
      </c>
      <c r="AX11" t="s">
        <v>261</v>
      </c>
      <c r="AY11" t="s">
        <v>6</v>
      </c>
      <c r="BD11" s="7"/>
      <c r="BL11">
        <v>4</v>
      </c>
      <c r="BM11" t="s">
        <v>152</v>
      </c>
      <c r="BN11">
        <v>1</v>
      </c>
      <c r="BO11" t="s">
        <v>153</v>
      </c>
      <c r="BP11" t="s">
        <v>154</v>
      </c>
      <c r="BQ11" t="s">
        <v>7</v>
      </c>
      <c r="BU11">
        <v>15</v>
      </c>
      <c r="BV11" t="s">
        <v>307</v>
      </c>
      <c r="BW11">
        <v>5</v>
      </c>
      <c r="BX11" t="s">
        <v>308</v>
      </c>
      <c r="BY11" t="s">
        <v>309</v>
      </c>
      <c r="BZ11" t="s">
        <v>313</v>
      </c>
    </row>
    <row r="12" spans="1:78" x14ac:dyDescent="0.3">
      <c r="A12">
        <v>78</v>
      </c>
      <c r="B12" t="s">
        <v>112</v>
      </c>
      <c r="C12">
        <v>5</v>
      </c>
      <c r="D12" t="s">
        <v>113</v>
      </c>
      <c r="E12" t="s">
        <v>114</v>
      </c>
      <c r="F12" t="s">
        <v>89</v>
      </c>
      <c r="J12">
        <v>87</v>
      </c>
      <c r="K12" t="s">
        <v>158</v>
      </c>
      <c r="L12">
        <v>2</v>
      </c>
      <c r="M12" t="s">
        <v>159</v>
      </c>
      <c r="N12" t="s">
        <v>160</v>
      </c>
      <c r="O12" t="s">
        <v>134</v>
      </c>
      <c r="T12" s="7"/>
      <c r="AB12">
        <v>7</v>
      </c>
      <c r="AC12" t="s">
        <v>140</v>
      </c>
      <c r="AD12">
        <v>2</v>
      </c>
      <c r="AE12" t="s">
        <v>141</v>
      </c>
      <c r="AF12" t="s">
        <v>142</v>
      </c>
      <c r="AG12" t="s">
        <v>178</v>
      </c>
      <c r="AT12">
        <v>3</v>
      </c>
      <c r="AU12" t="s">
        <v>191</v>
      </c>
      <c r="AV12">
        <v>3</v>
      </c>
      <c r="AW12" t="s">
        <v>192</v>
      </c>
      <c r="AX12" t="s">
        <v>193</v>
      </c>
      <c r="AY12" t="s">
        <v>6</v>
      </c>
      <c r="BD12" s="7"/>
      <c r="BL12">
        <v>82</v>
      </c>
      <c r="BM12" t="s">
        <v>118</v>
      </c>
      <c r="BN12">
        <v>4</v>
      </c>
      <c r="BO12" t="s">
        <v>119</v>
      </c>
      <c r="BP12" t="s">
        <v>120</v>
      </c>
      <c r="BQ12" t="s">
        <v>7</v>
      </c>
      <c r="BU12">
        <v>27</v>
      </c>
      <c r="BV12" t="s">
        <v>221</v>
      </c>
      <c r="BW12">
        <v>5</v>
      </c>
      <c r="BX12" t="s">
        <v>222</v>
      </c>
      <c r="BY12" t="s">
        <v>223</v>
      </c>
      <c r="BZ12" t="s">
        <v>313</v>
      </c>
    </row>
    <row r="13" spans="1:78" x14ac:dyDescent="0.3">
      <c r="A13">
        <v>34</v>
      </c>
      <c r="B13" t="s">
        <v>115</v>
      </c>
      <c r="C13">
        <v>5</v>
      </c>
      <c r="D13" t="s">
        <v>116</v>
      </c>
      <c r="E13" t="s">
        <v>117</v>
      </c>
      <c r="F13" t="s">
        <v>89</v>
      </c>
      <c r="K13" s="7"/>
      <c r="T13" s="7"/>
      <c r="AB13">
        <v>2</v>
      </c>
      <c r="AC13" t="s">
        <v>197</v>
      </c>
      <c r="AD13">
        <v>2</v>
      </c>
      <c r="AE13" t="s">
        <v>198</v>
      </c>
      <c r="AF13" t="s">
        <v>199</v>
      </c>
      <c r="AG13" t="s">
        <v>178</v>
      </c>
      <c r="AT13">
        <v>85</v>
      </c>
      <c r="AU13" t="s">
        <v>262</v>
      </c>
      <c r="AV13">
        <v>4</v>
      </c>
      <c r="AW13" t="s">
        <v>263</v>
      </c>
      <c r="AX13" t="s">
        <v>252</v>
      </c>
      <c r="AY13" t="s">
        <v>6</v>
      </c>
      <c r="BD13" s="7"/>
      <c r="BU13">
        <v>60</v>
      </c>
      <c r="BV13" t="s">
        <v>233</v>
      </c>
      <c r="BW13">
        <v>5</v>
      </c>
      <c r="BX13" t="s">
        <v>236</v>
      </c>
      <c r="BY13" t="s">
        <v>237</v>
      </c>
      <c r="BZ13" t="s">
        <v>313</v>
      </c>
    </row>
    <row r="14" spans="1:78" x14ac:dyDescent="0.3">
      <c r="A14">
        <v>82</v>
      </c>
      <c r="B14" t="s">
        <v>118</v>
      </c>
      <c r="C14">
        <v>4</v>
      </c>
      <c r="D14" t="s">
        <v>119</v>
      </c>
      <c r="E14" t="s">
        <v>120</v>
      </c>
      <c r="F14" t="s">
        <v>89</v>
      </c>
      <c r="K14" s="7"/>
      <c r="T14" s="7"/>
      <c r="AB14">
        <v>99</v>
      </c>
      <c r="AC14" t="s">
        <v>200</v>
      </c>
      <c r="AD14">
        <v>3</v>
      </c>
      <c r="AE14" t="s">
        <v>201</v>
      </c>
      <c r="AF14" t="s">
        <v>202</v>
      </c>
      <c r="AG14" t="s">
        <v>178</v>
      </c>
      <c r="AT14">
        <v>69</v>
      </c>
      <c r="AU14" t="s">
        <v>264</v>
      </c>
      <c r="AV14">
        <v>5</v>
      </c>
      <c r="AW14" t="s">
        <v>265</v>
      </c>
      <c r="AX14" t="s">
        <v>252</v>
      </c>
      <c r="AY14" t="s">
        <v>6</v>
      </c>
      <c r="BD14" s="7"/>
      <c r="BU14">
        <v>75</v>
      </c>
      <c r="BV14" t="s">
        <v>317</v>
      </c>
      <c r="BW14">
        <v>1</v>
      </c>
      <c r="BX14" t="s">
        <v>318</v>
      </c>
      <c r="BY14" t="s">
        <v>319</v>
      </c>
      <c r="BZ14" t="s">
        <v>313</v>
      </c>
    </row>
    <row r="15" spans="1:78" x14ac:dyDescent="0.3">
      <c r="A15">
        <v>93</v>
      </c>
      <c r="B15" t="s">
        <v>121</v>
      </c>
      <c r="C15">
        <v>5</v>
      </c>
      <c r="D15" t="s">
        <v>122</v>
      </c>
      <c r="E15" t="s">
        <v>123</v>
      </c>
      <c r="F15" t="s">
        <v>89</v>
      </c>
      <c r="K15" s="7"/>
      <c r="T15" s="7"/>
      <c r="AB15">
        <v>45</v>
      </c>
      <c r="AC15" t="s">
        <v>203</v>
      </c>
      <c r="AD15">
        <v>1</v>
      </c>
      <c r="AE15" t="s">
        <v>204</v>
      </c>
      <c r="AF15" t="s">
        <v>205</v>
      </c>
      <c r="AG15" t="s">
        <v>178</v>
      </c>
      <c r="AT15">
        <v>18</v>
      </c>
      <c r="AU15" t="s">
        <v>161</v>
      </c>
      <c r="AV15">
        <v>5</v>
      </c>
      <c r="AW15" t="s">
        <v>162</v>
      </c>
      <c r="AX15" t="s">
        <v>163</v>
      </c>
      <c r="AY15" t="s">
        <v>6</v>
      </c>
      <c r="BD15" s="7"/>
    </row>
    <row r="16" spans="1:78" x14ac:dyDescent="0.3">
      <c r="A16">
        <v>35</v>
      </c>
      <c r="B16" t="s">
        <v>124</v>
      </c>
      <c r="C16">
        <v>5</v>
      </c>
      <c r="D16" t="s">
        <v>125</v>
      </c>
      <c r="E16" t="s">
        <v>95</v>
      </c>
      <c r="F16" t="s">
        <v>89</v>
      </c>
      <c r="K16" s="7"/>
      <c r="T16" s="7"/>
      <c r="AB16">
        <v>84</v>
      </c>
      <c r="AC16" t="s">
        <v>206</v>
      </c>
      <c r="AD16">
        <v>5</v>
      </c>
      <c r="AE16" t="s">
        <v>207</v>
      </c>
      <c r="AF16" t="s">
        <v>208</v>
      </c>
      <c r="AG16" t="s">
        <v>178</v>
      </c>
      <c r="AT16">
        <v>55</v>
      </c>
      <c r="AU16" t="s">
        <v>266</v>
      </c>
      <c r="AV16">
        <v>5</v>
      </c>
      <c r="AW16" t="s">
        <v>267</v>
      </c>
      <c r="AX16" t="s">
        <v>268</v>
      </c>
      <c r="AY16" t="s">
        <v>6</v>
      </c>
      <c r="BD16" s="7"/>
    </row>
    <row r="17" spans="1:56" x14ac:dyDescent="0.3">
      <c r="A17">
        <v>10</v>
      </c>
      <c r="B17" t="s">
        <v>126</v>
      </c>
      <c r="C17">
        <v>1</v>
      </c>
      <c r="D17" t="s">
        <v>127</v>
      </c>
      <c r="E17" t="s">
        <v>128</v>
      </c>
      <c r="F17" t="s">
        <v>89</v>
      </c>
      <c r="K17" s="7"/>
      <c r="T17" s="7"/>
      <c r="AB17">
        <v>57</v>
      </c>
      <c r="AC17" t="s">
        <v>209</v>
      </c>
      <c r="AD17">
        <v>5</v>
      </c>
      <c r="AE17" t="s">
        <v>210</v>
      </c>
      <c r="AF17" t="s">
        <v>211</v>
      </c>
      <c r="AG17" t="s">
        <v>178</v>
      </c>
      <c r="AT17">
        <v>63</v>
      </c>
      <c r="AU17" t="s">
        <v>269</v>
      </c>
      <c r="AV17">
        <v>5</v>
      </c>
      <c r="AW17" t="s">
        <v>270</v>
      </c>
      <c r="AX17" t="s">
        <v>271</v>
      </c>
      <c r="AY17" t="s">
        <v>6</v>
      </c>
      <c r="BD17" s="7"/>
    </row>
    <row r="18" spans="1:56" x14ac:dyDescent="0.3">
      <c r="A18">
        <v>59</v>
      </c>
      <c r="B18" t="s">
        <v>129</v>
      </c>
      <c r="C18">
        <v>5</v>
      </c>
      <c r="D18" t="s">
        <v>130</v>
      </c>
      <c r="E18" t="s">
        <v>88</v>
      </c>
      <c r="F18" t="s">
        <v>89</v>
      </c>
      <c r="K18" s="7"/>
      <c r="T18" s="7"/>
      <c r="AB18">
        <v>29</v>
      </c>
      <c r="AC18" t="s">
        <v>107</v>
      </c>
      <c r="AD18">
        <v>5</v>
      </c>
      <c r="AE18" t="s">
        <v>108</v>
      </c>
      <c r="AF18" t="s">
        <v>109</v>
      </c>
      <c r="AG18" t="s">
        <v>178</v>
      </c>
      <c r="AT18">
        <v>8</v>
      </c>
      <c r="AU18" t="s">
        <v>272</v>
      </c>
      <c r="AV18">
        <v>5</v>
      </c>
      <c r="AW18" t="s">
        <v>273</v>
      </c>
      <c r="AX18" t="s">
        <v>274</v>
      </c>
      <c r="AY18" t="s">
        <v>6</v>
      </c>
      <c r="BD18" s="7"/>
    </row>
    <row r="19" spans="1:56" x14ac:dyDescent="0.3">
      <c r="K19" s="7"/>
      <c r="T19" s="7"/>
      <c r="AB19">
        <v>20</v>
      </c>
      <c r="AC19" t="s">
        <v>212</v>
      </c>
      <c r="AD19">
        <v>1</v>
      </c>
      <c r="AE19" t="s">
        <v>213</v>
      </c>
      <c r="AF19" t="s">
        <v>214</v>
      </c>
      <c r="AG19" t="s">
        <v>178</v>
      </c>
      <c r="AT19">
        <v>37</v>
      </c>
      <c r="AU19" t="s">
        <v>194</v>
      </c>
      <c r="AV19">
        <v>5</v>
      </c>
      <c r="AW19" t="s">
        <v>195</v>
      </c>
      <c r="AX19" t="s">
        <v>196</v>
      </c>
      <c r="AY19" t="s">
        <v>6</v>
      </c>
      <c r="BD19" s="7"/>
    </row>
    <row r="20" spans="1:56" x14ac:dyDescent="0.3">
      <c r="K20" s="7"/>
      <c r="T20" s="7"/>
      <c r="AB20">
        <v>46</v>
      </c>
      <c r="AC20" t="s">
        <v>146</v>
      </c>
      <c r="AD20">
        <v>4</v>
      </c>
      <c r="AE20" t="s">
        <v>147</v>
      </c>
      <c r="AF20" t="s">
        <v>148</v>
      </c>
      <c r="AG20" t="s">
        <v>178</v>
      </c>
      <c r="AT20">
        <v>21</v>
      </c>
      <c r="AU20" t="s">
        <v>275</v>
      </c>
      <c r="AV20">
        <v>4</v>
      </c>
      <c r="AW20" t="s">
        <v>276</v>
      </c>
      <c r="AX20" t="s">
        <v>277</v>
      </c>
      <c r="AY20" t="s">
        <v>6</v>
      </c>
      <c r="BD20" s="7"/>
    </row>
    <row r="21" spans="1:56" x14ac:dyDescent="0.3">
      <c r="K21" s="7"/>
      <c r="T21" s="7"/>
      <c r="AB21">
        <v>42</v>
      </c>
      <c r="AC21" t="s">
        <v>215</v>
      </c>
      <c r="AD21">
        <v>1</v>
      </c>
      <c r="AE21" t="s">
        <v>216</v>
      </c>
      <c r="AF21" t="s">
        <v>217</v>
      </c>
      <c r="AG21" t="s">
        <v>178</v>
      </c>
      <c r="AT21">
        <v>56</v>
      </c>
      <c r="AU21" t="s">
        <v>278</v>
      </c>
      <c r="AV21">
        <v>1</v>
      </c>
      <c r="AW21" t="s">
        <v>279</v>
      </c>
      <c r="AX21" t="s">
        <v>280</v>
      </c>
      <c r="AY21" t="s">
        <v>6</v>
      </c>
      <c r="BD21" s="7"/>
    </row>
    <row r="22" spans="1:56" x14ac:dyDescent="0.3">
      <c r="A22" s="49" t="s">
        <v>164</v>
      </c>
      <c r="T22" s="7"/>
      <c r="AB22">
        <v>81</v>
      </c>
      <c r="AC22" t="s">
        <v>218</v>
      </c>
      <c r="AD22">
        <v>5</v>
      </c>
      <c r="AE22" t="s">
        <v>219</v>
      </c>
      <c r="AF22" t="s">
        <v>220</v>
      </c>
      <c r="AG22" t="s">
        <v>178</v>
      </c>
      <c r="AT22">
        <v>74</v>
      </c>
      <c r="AU22" t="s">
        <v>281</v>
      </c>
      <c r="AV22">
        <v>5</v>
      </c>
      <c r="AW22" t="s">
        <v>282</v>
      </c>
      <c r="AX22" t="s">
        <v>283</v>
      </c>
      <c r="AY22" t="s">
        <v>6</v>
      </c>
      <c r="BD22" s="7"/>
    </row>
    <row r="23" spans="1:56" x14ac:dyDescent="0.3">
      <c r="A23" s="49" t="s">
        <v>89</v>
      </c>
      <c r="T23" s="7"/>
      <c r="AB23">
        <v>27</v>
      </c>
      <c r="AC23" t="s">
        <v>221</v>
      </c>
      <c r="AD23">
        <v>5</v>
      </c>
      <c r="AE23" t="s">
        <v>222</v>
      </c>
      <c r="AF23" t="s">
        <v>223</v>
      </c>
      <c r="AG23" t="s">
        <v>178</v>
      </c>
      <c r="AT23">
        <v>77</v>
      </c>
      <c r="AU23" t="s">
        <v>281</v>
      </c>
      <c r="AV23">
        <v>1</v>
      </c>
      <c r="AW23" t="s">
        <v>284</v>
      </c>
      <c r="AX23" t="s">
        <v>285</v>
      </c>
      <c r="AY23" t="s">
        <v>6</v>
      </c>
      <c r="BD23" s="7"/>
    </row>
    <row r="24" spans="1:56" x14ac:dyDescent="0.3">
      <c r="A24" s="49" t="s">
        <v>313</v>
      </c>
      <c r="T24" s="7"/>
      <c r="AB24">
        <v>1</v>
      </c>
      <c r="AC24" t="s">
        <v>224</v>
      </c>
      <c r="AD24">
        <v>3</v>
      </c>
      <c r="AE24" t="s">
        <v>225</v>
      </c>
      <c r="AF24" t="s">
        <v>226</v>
      </c>
      <c r="AG24" t="s">
        <v>178</v>
      </c>
      <c r="AT24">
        <v>80</v>
      </c>
      <c r="AU24" t="s">
        <v>286</v>
      </c>
      <c r="AV24">
        <v>5</v>
      </c>
      <c r="AW24" t="s">
        <v>287</v>
      </c>
      <c r="AX24" t="s">
        <v>288</v>
      </c>
      <c r="AY24" t="s">
        <v>6</v>
      </c>
      <c r="BD24" s="7"/>
    </row>
    <row r="25" spans="1:56" x14ac:dyDescent="0.3">
      <c r="A25" s="49" t="s">
        <v>134</v>
      </c>
      <c r="T25" s="7"/>
      <c r="AB25">
        <v>6</v>
      </c>
      <c r="AC25" t="s">
        <v>227</v>
      </c>
      <c r="AD25">
        <v>5</v>
      </c>
      <c r="AE25" t="s">
        <v>228</v>
      </c>
      <c r="AF25" t="s">
        <v>229</v>
      </c>
      <c r="AG25" t="s">
        <v>178</v>
      </c>
      <c r="AT25">
        <v>99</v>
      </c>
      <c r="AU25" t="s">
        <v>200</v>
      </c>
      <c r="AV25">
        <v>3</v>
      </c>
      <c r="AW25" t="s">
        <v>201</v>
      </c>
      <c r="AX25" t="s">
        <v>202</v>
      </c>
      <c r="AY25" t="s">
        <v>6</v>
      </c>
      <c r="BD25" s="7"/>
    </row>
    <row r="26" spans="1:56" x14ac:dyDescent="0.3">
      <c r="A26" s="49" t="s">
        <v>303</v>
      </c>
      <c r="T26" s="7"/>
      <c r="AB26">
        <v>87</v>
      </c>
      <c r="AC26" t="s">
        <v>158</v>
      </c>
      <c r="AD26">
        <v>2</v>
      </c>
      <c r="AE26" t="s">
        <v>159</v>
      </c>
      <c r="AF26" t="s">
        <v>160</v>
      </c>
      <c r="AG26" t="s">
        <v>178</v>
      </c>
      <c r="AT26">
        <v>45</v>
      </c>
      <c r="AU26" t="s">
        <v>203</v>
      </c>
      <c r="AV26">
        <v>1</v>
      </c>
      <c r="AW26" t="s">
        <v>204</v>
      </c>
      <c r="AX26" t="s">
        <v>205</v>
      </c>
      <c r="AY26" t="s">
        <v>6</v>
      </c>
      <c r="BD26" s="7"/>
    </row>
    <row r="27" spans="1:56" x14ac:dyDescent="0.3">
      <c r="A27" s="49" t="s">
        <v>178</v>
      </c>
      <c r="T27" s="7"/>
      <c r="AB27">
        <v>40</v>
      </c>
      <c r="AC27" t="s">
        <v>230</v>
      </c>
      <c r="AD27">
        <v>1</v>
      </c>
      <c r="AE27" t="s">
        <v>231</v>
      </c>
      <c r="AF27" t="s">
        <v>232</v>
      </c>
      <c r="AG27" t="s">
        <v>178</v>
      </c>
      <c r="AT27">
        <v>84</v>
      </c>
      <c r="AU27" t="s">
        <v>206</v>
      </c>
      <c r="AV27">
        <v>5</v>
      </c>
      <c r="AW27" t="s">
        <v>207</v>
      </c>
      <c r="AX27" t="s">
        <v>208</v>
      </c>
      <c r="AY27" t="s">
        <v>6</v>
      </c>
      <c r="BD27" s="7"/>
    </row>
    <row r="28" spans="1:56" x14ac:dyDescent="0.3">
      <c r="A28" s="49" t="s">
        <v>171</v>
      </c>
      <c r="T28" s="7"/>
      <c r="AB28">
        <v>34</v>
      </c>
      <c r="AC28" t="s">
        <v>115</v>
      </c>
      <c r="AD28">
        <v>5</v>
      </c>
      <c r="AE28" t="s">
        <v>116</v>
      </c>
      <c r="AF28" t="s">
        <v>117</v>
      </c>
      <c r="AG28" t="s">
        <v>178</v>
      </c>
      <c r="AT28">
        <v>29</v>
      </c>
      <c r="AU28" t="s">
        <v>107</v>
      </c>
      <c r="AV28">
        <v>5</v>
      </c>
      <c r="AW28" t="s">
        <v>108</v>
      </c>
      <c r="AX28" t="s">
        <v>109</v>
      </c>
      <c r="AY28" t="s">
        <v>6</v>
      </c>
      <c r="BD28" s="7"/>
    </row>
    <row r="29" spans="1:56" x14ac:dyDescent="0.3">
      <c r="A29" s="49" t="s">
        <v>7</v>
      </c>
      <c r="T29" s="7"/>
      <c r="AB29">
        <v>92</v>
      </c>
      <c r="AC29" t="s">
        <v>233</v>
      </c>
      <c r="AD29">
        <v>1</v>
      </c>
      <c r="AE29" t="s">
        <v>234</v>
      </c>
      <c r="AF29" t="s">
        <v>235</v>
      </c>
      <c r="AG29" t="s">
        <v>178</v>
      </c>
      <c r="AT29">
        <v>47</v>
      </c>
      <c r="AU29" t="s">
        <v>289</v>
      </c>
      <c r="AV29">
        <v>1</v>
      </c>
      <c r="AW29" t="s">
        <v>290</v>
      </c>
      <c r="AX29" t="s">
        <v>291</v>
      </c>
      <c r="AY29" t="s">
        <v>6</v>
      </c>
      <c r="BD29" s="7"/>
    </row>
    <row r="30" spans="1:56" x14ac:dyDescent="0.3">
      <c r="A30" s="49" t="s">
        <v>6</v>
      </c>
      <c r="H30" s="7"/>
      <c r="T30" s="7"/>
      <c r="AB30">
        <v>60</v>
      </c>
      <c r="AC30" t="s">
        <v>233</v>
      </c>
      <c r="AD30">
        <v>5</v>
      </c>
      <c r="AE30" t="s">
        <v>236</v>
      </c>
      <c r="AF30" t="s">
        <v>237</v>
      </c>
      <c r="AG30" t="s">
        <v>178</v>
      </c>
      <c r="AT30">
        <v>46</v>
      </c>
      <c r="AU30" t="s">
        <v>146</v>
      </c>
      <c r="AV30">
        <v>4</v>
      </c>
      <c r="AW30" t="s">
        <v>147</v>
      </c>
      <c r="AX30" t="s">
        <v>148</v>
      </c>
      <c r="AY30" t="s">
        <v>6</v>
      </c>
      <c r="BD30" s="7"/>
    </row>
    <row r="31" spans="1:56" x14ac:dyDescent="0.3">
      <c r="T31" s="7"/>
      <c r="AB31">
        <v>93</v>
      </c>
      <c r="AC31" t="s">
        <v>121</v>
      </c>
      <c r="AD31">
        <v>5</v>
      </c>
      <c r="AE31" t="s">
        <v>122</v>
      </c>
      <c r="AF31" t="s">
        <v>123</v>
      </c>
      <c r="AG31" t="s">
        <v>178</v>
      </c>
      <c r="AT31">
        <v>42</v>
      </c>
      <c r="AU31" t="s">
        <v>215</v>
      </c>
      <c r="AV31">
        <v>1</v>
      </c>
      <c r="AW31" t="s">
        <v>216</v>
      </c>
      <c r="AX31" t="s">
        <v>217</v>
      </c>
      <c r="AY31" t="s">
        <v>6</v>
      </c>
      <c r="BD31" s="7"/>
    </row>
    <row r="32" spans="1:56" x14ac:dyDescent="0.3">
      <c r="T32" s="7"/>
      <c r="AB32">
        <v>10</v>
      </c>
      <c r="AC32" t="s">
        <v>126</v>
      </c>
      <c r="AD32">
        <v>1</v>
      </c>
      <c r="AE32" t="s">
        <v>127</v>
      </c>
      <c r="AF32" t="s">
        <v>128</v>
      </c>
      <c r="AG32" t="s">
        <v>178</v>
      </c>
      <c r="AT32">
        <v>81</v>
      </c>
      <c r="AU32" t="s">
        <v>218</v>
      </c>
      <c r="AV32">
        <v>5</v>
      </c>
      <c r="AW32" t="s">
        <v>219</v>
      </c>
      <c r="AX32" t="s">
        <v>220</v>
      </c>
      <c r="AY32" t="s">
        <v>6</v>
      </c>
      <c r="BD32" s="7"/>
    </row>
    <row r="33" spans="20:56" x14ac:dyDescent="0.3">
      <c r="T33" s="7"/>
      <c r="AB33">
        <v>52</v>
      </c>
      <c r="AC33" t="s">
        <v>238</v>
      </c>
      <c r="AD33">
        <v>1</v>
      </c>
      <c r="AE33" t="s">
        <v>239</v>
      </c>
      <c r="AF33" t="s">
        <v>240</v>
      </c>
      <c r="AG33" t="s">
        <v>178</v>
      </c>
      <c r="AT33">
        <v>88</v>
      </c>
      <c r="AU33" t="s">
        <v>292</v>
      </c>
      <c r="AV33">
        <v>5</v>
      </c>
      <c r="AW33" t="s">
        <v>293</v>
      </c>
      <c r="AX33" t="s">
        <v>294</v>
      </c>
      <c r="AY33" t="s">
        <v>6</v>
      </c>
      <c r="BD33" s="7"/>
    </row>
    <row r="34" spans="20:56" x14ac:dyDescent="0.3">
      <c r="T34" s="7"/>
      <c r="AB34">
        <v>97</v>
      </c>
      <c r="AC34" t="s">
        <v>241</v>
      </c>
      <c r="AD34">
        <v>4</v>
      </c>
      <c r="AE34" t="s">
        <v>242</v>
      </c>
      <c r="AF34" t="s">
        <v>243</v>
      </c>
      <c r="AG34" t="s">
        <v>178</v>
      </c>
      <c r="AT34">
        <v>27</v>
      </c>
      <c r="AU34" t="s">
        <v>221</v>
      </c>
      <c r="AV34">
        <v>5</v>
      </c>
      <c r="AW34" t="s">
        <v>222</v>
      </c>
      <c r="AX34" t="s">
        <v>223</v>
      </c>
      <c r="AY34" t="s">
        <v>6</v>
      </c>
      <c r="BD34" s="7"/>
    </row>
    <row r="35" spans="20:56" x14ac:dyDescent="0.3">
      <c r="T35" s="7"/>
      <c r="AC35" s="7"/>
      <c r="AT35">
        <v>6</v>
      </c>
      <c r="AU35" t="s">
        <v>227</v>
      </c>
      <c r="AV35">
        <v>5</v>
      </c>
      <c r="AW35" t="s">
        <v>228</v>
      </c>
      <c r="AX35" t="s">
        <v>229</v>
      </c>
      <c r="AY35" t="s">
        <v>6</v>
      </c>
      <c r="BD35" s="7"/>
    </row>
    <row r="36" spans="20:56" x14ac:dyDescent="0.3">
      <c r="T36" s="7"/>
      <c r="AC36" s="7"/>
      <c r="AT36">
        <v>87</v>
      </c>
      <c r="AU36" t="s">
        <v>158</v>
      </c>
      <c r="AV36">
        <v>2</v>
      </c>
      <c r="AW36" t="s">
        <v>159</v>
      </c>
      <c r="AX36" t="s">
        <v>160</v>
      </c>
      <c r="AY36" t="s">
        <v>6</v>
      </c>
      <c r="BD36" s="7"/>
    </row>
    <row r="37" spans="20:56" x14ac:dyDescent="0.3">
      <c r="T37" s="7"/>
      <c r="AC37" s="7"/>
      <c r="AT37">
        <v>39</v>
      </c>
      <c r="AU37" t="s">
        <v>295</v>
      </c>
      <c r="AV37">
        <v>3</v>
      </c>
      <c r="AW37" t="s">
        <v>296</v>
      </c>
      <c r="AX37" t="s">
        <v>297</v>
      </c>
      <c r="AY37" t="s">
        <v>6</v>
      </c>
      <c r="BD37" s="7"/>
    </row>
    <row r="38" spans="20:56" x14ac:dyDescent="0.3">
      <c r="T38" s="7"/>
      <c r="AC38" s="7"/>
      <c r="AT38">
        <v>60</v>
      </c>
      <c r="AU38" t="s">
        <v>233</v>
      </c>
      <c r="AV38">
        <v>5</v>
      </c>
      <c r="AW38" t="s">
        <v>236</v>
      </c>
      <c r="AX38" t="s">
        <v>237</v>
      </c>
      <c r="AY38" t="s">
        <v>6</v>
      </c>
      <c r="BD38" s="7"/>
    </row>
    <row r="39" spans="20:56" x14ac:dyDescent="0.3">
      <c r="T39" s="7"/>
      <c r="AC39" s="7"/>
      <c r="AT39">
        <v>82</v>
      </c>
      <c r="AU39" t="s">
        <v>118</v>
      </c>
      <c r="AV39">
        <v>4</v>
      </c>
      <c r="AW39" t="s">
        <v>119</v>
      </c>
      <c r="AX39" t="s">
        <v>120</v>
      </c>
      <c r="AY39" t="s">
        <v>6</v>
      </c>
      <c r="BD39" s="7"/>
    </row>
    <row r="40" spans="20:56" x14ac:dyDescent="0.3">
      <c r="T40" s="7"/>
      <c r="AC40" s="7"/>
      <c r="AT40">
        <v>93</v>
      </c>
      <c r="AU40" t="s">
        <v>121</v>
      </c>
      <c r="AV40">
        <v>5</v>
      </c>
      <c r="AW40" t="s">
        <v>122</v>
      </c>
      <c r="AX40" t="s">
        <v>123</v>
      </c>
      <c r="AY40" t="s">
        <v>6</v>
      </c>
      <c r="BD40" s="7"/>
    </row>
    <row r="41" spans="20:56" x14ac:dyDescent="0.3">
      <c r="T41" s="7"/>
      <c r="AC41" s="7"/>
      <c r="AT41">
        <v>14</v>
      </c>
      <c r="AU41" t="s">
        <v>298</v>
      </c>
      <c r="AV41">
        <v>5</v>
      </c>
      <c r="AW41" t="s">
        <v>299</v>
      </c>
      <c r="AX41" t="s">
        <v>258</v>
      </c>
      <c r="AY41" t="s">
        <v>6</v>
      </c>
      <c r="BD41" s="7"/>
    </row>
    <row r="42" spans="20:56" x14ac:dyDescent="0.3">
      <c r="T42" s="7"/>
      <c r="AC42" s="7"/>
      <c r="BD42" s="7"/>
    </row>
    <row r="43" spans="20:56" x14ac:dyDescent="0.3">
      <c r="T43" s="7"/>
      <c r="BD43" s="7"/>
    </row>
    <row r="44" spans="20:56" x14ac:dyDescent="0.3">
      <c r="T44" s="7"/>
      <c r="BD44" s="7"/>
    </row>
    <row r="45" spans="20:56" x14ac:dyDescent="0.3">
      <c r="T45" s="7"/>
      <c r="BD45" s="7"/>
    </row>
    <row r="46" spans="20:56" x14ac:dyDescent="0.3">
      <c r="T46" s="7"/>
      <c r="BD46" s="7"/>
    </row>
    <row r="47" spans="20:56" x14ac:dyDescent="0.3">
      <c r="T47" s="7"/>
      <c r="BD47" s="7"/>
    </row>
    <row r="48" spans="20:56" x14ac:dyDescent="0.3">
      <c r="T48" s="7"/>
      <c r="BD48" s="7"/>
    </row>
    <row r="49" spans="20:56" x14ac:dyDescent="0.3">
      <c r="T49" s="7"/>
      <c r="BD49" s="7"/>
    </row>
    <row r="50" spans="20:56" x14ac:dyDescent="0.3">
      <c r="T50" s="7"/>
      <c r="BD50" s="7"/>
    </row>
    <row r="51" spans="20:56" x14ac:dyDescent="0.3">
      <c r="T51" s="7"/>
    </row>
    <row r="52" spans="20:56" x14ac:dyDescent="0.3">
      <c r="T52" s="7"/>
    </row>
    <row r="53" spans="20:56" x14ac:dyDescent="0.3">
      <c r="T53" s="7"/>
    </row>
    <row r="54" spans="20:56" x14ac:dyDescent="0.3">
      <c r="T54" s="7"/>
    </row>
    <row r="55" spans="20:56" x14ac:dyDescent="0.3">
      <c r="T55" s="7"/>
    </row>
    <row r="56" spans="20:56" x14ac:dyDescent="0.3">
      <c r="T56" s="7"/>
    </row>
    <row r="57" spans="20:56" x14ac:dyDescent="0.3">
      <c r="T57" s="7"/>
    </row>
    <row r="58" spans="20:56" x14ac:dyDescent="0.3">
      <c r="T58" s="7"/>
    </row>
    <row r="59" spans="20:56" x14ac:dyDescent="0.3">
      <c r="T59" s="7"/>
    </row>
    <row r="60" spans="20:56" x14ac:dyDescent="0.3">
      <c r="T60" s="7"/>
    </row>
    <row r="61" spans="20:56" x14ac:dyDescent="0.3">
      <c r="T61" s="7"/>
    </row>
    <row r="62" spans="20:56" x14ac:dyDescent="0.3">
      <c r="T62" s="7"/>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136"/>
  <sheetViews>
    <sheetView zoomScale="78" workbookViewId="0">
      <selection activeCell="B2" sqref="B2"/>
    </sheetView>
  </sheetViews>
  <sheetFormatPr defaultRowHeight="14.4" x14ac:dyDescent="0.3"/>
  <cols>
    <col min="1" max="1" width="23" customWidth="1"/>
    <col min="2" max="2" width="14.44140625" customWidth="1"/>
    <col min="3" max="4" width="12.21875" customWidth="1"/>
    <col min="13" max="13" width="10.5546875" bestFit="1" customWidth="1"/>
  </cols>
  <sheetData>
    <row r="1" spans="1:10" x14ac:dyDescent="0.3">
      <c r="A1" s="6" t="s">
        <v>5</v>
      </c>
      <c r="B1" s="6" t="s">
        <v>2</v>
      </c>
      <c r="C1" s="6" t="s">
        <v>42</v>
      </c>
      <c r="D1" s="6" t="s">
        <v>43</v>
      </c>
      <c r="E1" s="14" t="s">
        <v>44</v>
      </c>
      <c r="F1" s="14" t="s">
        <v>45</v>
      </c>
      <c r="G1" s="6" t="s">
        <v>21</v>
      </c>
      <c r="H1" s="6" t="s">
        <v>22</v>
      </c>
      <c r="I1" s="21" t="s">
        <v>23</v>
      </c>
      <c r="J1" s="6" t="s">
        <v>24</v>
      </c>
    </row>
    <row r="2" spans="1:10" x14ac:dyDescent="0.3">
      <c r="A2" t="s">
        <v>6</v>
      </c>
      <c r="B2" s="15">
        <v>41382</v>
      </c>
      <c r="C2" s="15">
        <v>41275</v>
      </c>
      <c r="D2" s="15">
        <v>41365</v>
      </c>
      <c r="E2">
        <v>6</v>
      </c>
      <c r="F2">
        <v>2</v>
      </c>
      <c r="G2">
        <v>0</v>
      </c>
      <c r="H2">
        <v>0</v>
      </c>
      <c r="I2">
        <v>2</v>
      </c>
      <c r="J2">
        <v>2</v>
      </c>
    </row>
    <row r="3" spans="1:10" x14ac:dyDescent="0.3">
      <c r="A3" t="s">
        <v>313</v>
      </c>
      <c r="B3" s="15">
        <v>41616</v>
      </c>
      <c r="C3" s="15">
        <v>41275</v>
      </c>
      <c r="D3" s="15">
        <v>41609</v>
      </c>
      <c r="E3">
        <v>20</v>
      </c>
      <c r="F3">
        <v>4</v>
      </c>
      <c r="G3">
        <v>0</v>
      </c>
      <c r="H3">
        <v>2</v>
      </c>
      <c r="I3">
        <v>2</v>
      </c>
      <c r="J3">
        <v>4</v>
      </c>
    </row>
    <row r="4" spans="1:10" x14ac:dyDescent="0.3">
      <c r="A4" t="s">
        <v>303</v>
      </c>
      <c r="B4" s="15">
        <v>41616</v>
      </c>
      <c r="C4" s="15">
        <v>41275</v>
      </c>
      <c r="D4" s="15">
        <v>41609</v>
      </c>
      <c r="E4">
        <v>5</v>
      </c>
      <c r="F4">
        <v>1</v>
      </c>
      <c r="G4">
        <v>0</v>
      </c>
      <c r="H4">
        <v>0</v>
      </c>
      <c r="I4">
        <v>1</v>
      </c>
      <c r="J4">
        <v>1</v>
      </c>
    </row>
    <row r="5" spans="1:10" x14ac:dyDescent="0.3">
      <c r="A5" t="s">
        <v>178</v>
      </c>
      <c r="B5" s="15">
        <v>41627</v>
      </c>
      <c r="C5" s="15">
        <v>41275</v>
      </c>
      <c r="D5" s="15">
        <v>41609</v>
      </c>
      <c r="E5">
        <v>1</v>
      </c>
      <c r="F5">
        <v>1</v>
      </c>
      <c r="G5">
        <v>1</v>
      </c>
      <c r="H5">
        <v>0</v>
      </c>
      <c r="I5">
        <v>0</v>
      </c>
      <c r="J5">
        <v>1</v>
      </c>
    </row>
    <row r="6" spans="1:10" x14ac:dyDescent="0.3">
      <c r="A6" t="s">
        <v>89</v>
      </c>
      <c r="B6" s="15">
        <v>41847</v>
      </c>
      <c r="C6" s="15">
        <v>41640</v>
      </c>
      <c r="D6" s="15">
        <v>41821</v>
      </c>
      <c r="E6">
        <v>5</v>
      </c>
      <c r="F6">
        <v>1</v>
      </c>
      <c r="G6">
        <v>0</v>
      </c>
      <c r="H6">
        <v>0</v>
      </c>
      <c r="I6">
        <v>1</v>
      </c>
      <c r="J6">
        <v>1</v>
      </c>
    </row>
    <row r="7" spans="1:10" x14ac:dyDescent="0.3">
      <c r="A7" t="s">
        <v>178</v>
      </c>
      <c r="B7" s="15">
        <v>41903</v>
      </c>
      <c r="C7" s="15">
        <v>41640</v>
      </c>
      <c r="D7" s="15">
        <v>41883</v>
      </c>
      <c r="E7">
        <v>1</v>
      </c>
      <c r="F7">
        <v>1</v>
      </c>
      <c r="G7">
        <v>1</v>
      </c>
      <c r="H7">
        <v>0</v>
      </c>
      <c r="I7">
        <v>0</v>
      </c>
      <c r="J7">
        <v>1</v>
      </c>
    </row>
    <row r="8" spans="1:10" x14ac:dyDescent="0.3">
      <c r="A8" t="s">
        <v>6</v>
      </c>
      <c r="B8" s="15">
        <v>41903</v>
      </c>
      <c r="C8" s="15">
        <v>41640</v>
      </c>
      <c r="D8" s="15">
        <v>41883</v>
      </c>
      <c r="E8">
        <v>2</v>
      </c>
      <c r="F8">
        <v>2</v>
      </c>
      <c r="G8">
        <v>2</v>
      </c>
      <c r="H8">
        <v>0</v>
      </c>
      <c r="I8">
        <v>0</v>
      </c>
      <c r="J8">
        <v>2</v>
      </c>
    </row>
    <row r="9" spans="1:10" x14ac:dyDescent="0.3">
      <c r="A9" t="s">
        <v>303</v>
      </c>
      <c r="B9" s="15">
        <v>41915</v>
      </c>
      <c r="C9" s="15">
        <v>41640</v>
      </c>
      <c r="D9" s="15">
        <v>41913</v>
      </c>
      <c r="E9">
        <v>5</v>
      </c>
      <c r="F9">
        <v>1</v>
      </c>
      <c r="G9">
        <v>0</v>
      </c>
      <c r="H9">
        <v>0</v>
      </c>
      <c r="I9">
        <v>1</v>
      </c>
      <c r="J9">
        <v>1</v>
      </c>
    </row>
    <row r="10" spans="1:10" x14ac:dyDescent="0.3">
      <c r="A10" t="s">
        <v>134</v>
      </c>
      <c r="B10" s="15">
        <v>41915</v>
      </c>
      <c r="C10" s="15">
        <v>41640</v>
      </c>
      <c r="D10" s="15">
        <v>41913</v>
      </c>
      <c r="E10">
        <v>5</v>
      </c>
      <c r="F10">
        <v>1</v>
      </c>
      <c r="G10">
        <v>0</v>
      </c>
      <c r="H10">
        <v>0</v>
      </c>
      <c r="I10">
        <v>1</v>
      </c>
      <c r="J10">
        <v>1</v>
      </c>
    </row>
    <row r="11" spans="1:10" x14ac:dyDescent="0.3">
      <c r="A11" t="s">
        <v>313</v>
      </c>
      <c r="B11" s="15">
        <v>41915</v>
      </c>
      <c r="C11" s="15">
        <v>41640</v>
      </c>
      <c r="D11" s="15">
        <v>41913</v>
      </c>
      <c r="E11">
        <v>10</v>
      </c>
      <c r="F11">
        <v>2</v>
      </c>
      <c r="G11">
        <v>0</v>
      </c>
      <c r="H11">
        <v>0</v>
      </c>
      <c r="I11">
        <v>2</v>
      </c>
      <c r="J11">
        <v>2</v>
      </c>
    </row>
    <row r="12" spans="1:10" x14ac:dyDescent="0.3">
      <c r="A12" t="s">
        <v>7</v>
      </c>
      <c r="B12" s="15">
        <v>42173</v>
      </c>
      <c r="C12" s="15">
        <v>42005</v>
      </c>
      <c r="D12" s="15">
        <v>42156</v>
      </c>
      <c r="E12">
        <v>5</v>
      </c>
      <c r="F12">
        <v>1</v>
      </c>
      <c r="G12">
        <v>0</v>
      </c>
      <c r="H12">
        <v>0</v>
      </c>
      <c r="I12">
        <v>1</v>
      </c>
      <c r="J12">
        <v>1</v>
      </c>
    </row>
    <row r="13" spans="1:10" x14ac:dyDescent="0.3">
      <c r="A13" t="s">
        <v>6</v>
      </c>
      <c r="B13" s="15">
        <v>42173</v>
      </c>
      <c r="C13" s="15">
        <v>42005</v>
      </c>
      <c r="D13" s="15">
        <v>42156</v>
      </c>
      <c r="E13">
        <v>5</v>
      </c>
      <c r="F13">
        <v>1</v>
      </c>
      <c r="G13">
        <v>0</v>
      </c>
      <c r="H13">
        <v>0</v>
      </c>
      <c r="I13">
        <v>1</v>
      </c>
      <c r="J13">
        <v>1</v>
      </c>
    </row>
    <row r="14" spans="1:10" x14ac:dyDescent="0.3">
      <c r="A14" t="s">
        <v>6</v>
      </c>
      <c r="B14" s="15">
        <v>42310</v>
      </c>
      <c r="C14" s="15">
        <v>42005</v>
      </c>
      <c r="D14" s="15">
        <v>42309</v>
      </c>
      <c r="E14">
        <v>4</v>
      </c>
      <c r="F14">
        <v>1</v>
      </c>
      <c r="G14">
        <v>0</v>
      </c>
      <c r="H14">
        <v>0</v>
      </c>
      <c r="I14">
        <v>1</v>
      </c>
      <c r="J14">
        <v>1</v>
      </c>
    </row>
    <row r="15" spans="1:10" x14ac:dyDescent="0.3">
      <c r="A15" t="s">
        <v>6</v>
      </c>
      <c r="B15" s="15">
        <v>42430</v>
      </c>
      <c r="C15" s="15">
        <v>42370</v>
      </c>
      <c r="D15" s="15">
        <v>42430</v>
      </c>
      <c r="E15">
        <v>1</v>
      </c>
      <c r="F15">
        <v>1</v>
      </c>
      <c r="G15">
        <v>1</v>
      </c>
      <c r="H15">
        <v>0</v>
      </c>
      <c r="I15">
        <v>0</v>
      </c>
      <c r="J15">
        <v>1</v>
      </c>
    </row>
    <row r="16" spans="1:10" x14ac:dyDescent="0.3">
      <c r="A16" t="s">
        <v>6</v>
      </c>
      <c r="B16" s="15">
        <v>42582</v>
      </c>
      <c r="C16" s="15">
        <v>42370</v>
      </c>
      <c r="D16" s="15">
        <v>42552</v>
      </c>
      <c r="E16">
        <v>5</v>
      </c>
      <c r="F16">
        <v>1</v>
      </c>
      <c r="G16">
        <v>0</v>
      </c>
      <c r="H16">
        <v>0</v>
      </c>
      <c r="I16">
        <v>1</v>
      </c>
      <c r="J16">
        <v>1</v>
      </c>
    </row>
    <row r="17" spans="1:10" x14ac:dyDescent="0.3">
      <c r="A17" t="s">
        <v>6</v>
      </c>
      <c r="B17" s="15">
        <v>42603</v>
      </c>
      <c r="C17" s="15">
        <v>42370</v>
      </c>
      <c r="D17" s="15">
        <v>42583</v>
      </c>
      <c r="E17">
        <v>6</v>
      </c>
      <c r="F17">
        <v>3</v>
      </c>
      <c r="G17">
        <v>0</v>
      </c>
      <c r="H17">
        <v>1</v>
      </c>
      <c r="I17">
        <v>2</v>
      </c>
      <c r="J17">
        <v>3</v>
      </c>
    </row>
    <row r="18" spans="1:10" x14ac:dyDescent="0.3">
      <c r="A18" t="s">
        <v>178</v>
      </c>
      <c r="B18" s="15">
        <v>42603</v>
      </c>
      <c r="C18" s="15">
        <v>42370</v>
      </c>
      <c r="D18" s="15">
        <v>42583</v>
      </c>
      <c r="E18">
        <v>2</v>
      </c>
      <c r="F18">
        <v>1</v>
      </c>
      <c r="G18">
        <v>0</v>
      </c>
      <c r="H18">
        <v>0</v>
      </c>
      <c r="I18">
        <v>1</v>
      </c>
      <c r="J18">
        <v>1</v>
      </c>
    </row>
    <row r="19" spans="1:10" x14ac:dyDescent="0.3">
      <c r="A19" t="s">
        <v>171</v>
      </c>
      <c r="B19" s="15">
        <v>42603</v>
      </c>
      <c r="C19" s="15">
        <v>42370</v>
      </c>
      <c r="D19" s="15">
        <v>42583</v>
      </c>
      <c r="E19">
        <v>2</v>
      </c>
      <c r="F19">
        <v>1</v>
      </c>
      <c r="G19">
        <v>0</v>
      </c>
      <c r="H19">
        <v>0</v>
      </c>
      <c r="I19">
        <v>1</v>
      </c>
      <c r="J19">
        <v>1</v>
      </c>
    </row>
    <row r="20" spans="1:10" x14ac:dyDescent="0.3">
      <c r="A20" t="s">
        <v>313</v>
      </c>
      <c r="B20" s="15">
        <v>42603</v>
      </c>
      <c r="C20" s="15">
        <v>42370</v>
      </c>
      <c r="D20" s="15">
        <v>42583</v>
      </c>
      <c r="E20">
        <v>2</v>
      </c>
      <c r="F20">
        <v>1</v>
      </c>
      <c r="G20">
        <v>0</v>
      </c>
      <c r="H20">
        <v>0</v>
      </c>
      <c r="I20">
        <v>1</v>
      </c>
      <c r="J20">
        <v>1</v>
      </c>
    </row>
    <row r="21" spans="1:10" x14ac:dyDescent="0.3">
      <c r="A21" t="s">
        <v>89</v>
      </c>
      <c r="B21" s="15">
        <v>42603</v>
      </c>
      <c r="C21" s="15">
        <v>42370</v>
      </c>
      <c r="D21" s="15">
        <v>42583</v>
      </c>
      <c r="E21">
        <v>2</v>
      </c>
      <c r="F21">
        <v>1</v>
      </c>
      <c r="G21">
        <v>0</v>
      </c>
      <c r="H21">
        <v>0</v>
      </c>
      <c r="I21">
        <v>1</v>
      </c>
      <c r="J21">
        <v>1</v>
      </c>
    </row>
    <row r="22" spans="1:10" x14ac:dyDescent="0.3">
      <c r="A22" t="s">
        <v>6</v>
      </c>
      <c r="B22" s="15">
        <v>42649</v>
      </c>
      <c r="C22" s="15">
        <v>42370</v>
      </c>
      <c r="D22" s="15">
        <v>42644</v>
      </c>
      <c r="E22">
        <v>2</v>
      </c>
      <c r="F22">
        <v>1</v>
      </c>
      <c r="G22">
        <v>1</v>
      </c>
      <c r="H22">
        <v>0</v>
      </c>
      <c r="I22">
        <v>0</v>
      </c>
      <c r="J22">
        <v>1</v>
      </c>
    </row>
    <row r="23" spans="1:10" x14ac:dyDescent="0.3">
      <c r="A23" t="s">
        <v>178</v>
      </c>
      <c r="B23" s="15">
        <v>42649</v>
      </c>
      <c r="C23" s="15">
        <v>42370</v>
      </c>
      <c r="D23" s="15">
        <v>42644</v>
      </c>
      <c r="E23">
        <v>2</v>
      </c>
      <c r="F23">
        <v>1</v>
      </c>
      <c r="G23">
        <v>1</v>
      </c>
      <c r="H23">
        <v>0</v>
      </c>
      <c r="I23">
        <v>0</v>
      </c>
      <c r="J23">
        <v>1</v>
      </c>
    </row>
    <row r="24" spans="1:10" x14ac:dyDescent="0.3">
      <c r="A24" t="s">
        <v>6</v>
      </c>
      <c r="B24" s="15">
        <v>42663</v>
      </c>
      <c r="C24" s="15">
        <v>42370</v>
      </c>
      <c r="D24" s="15">
        <v>42644</v>
      </c>
      <c r="E24">
        <v>1</v>
      </c>
      <c r="F24">
        <v>1</v>
      </c>
      <c r="G24">
        <v>1</v>
      </c>
      <c r="H24">
        <v>0</v>
      </c>
      <c r="I24">
        <v>0</v>
      </c>
      <c r="J24">
        <v>1</v>
      </c>
    </row>
    <row r="25" spans="1:10" x14ac:dyDescent="0.3">
      <c r="A25" t="s">
        <v>178</v>
      </c>
      <c r="B25" s="15">
        <v>42681</v>
      </c>
      <c r="C25" s="15">
        <v>42370</v>
      </c>
      <c r="D25" s="15">
        <v>42675</v>
      </c>
      <c r="E25">
        <v>5</v>
      </c>
      <c r="F25">
        <v>1</v>
      </c>
      <c r="G25">
        <v>0</v>
      </c>
      <c r="H25">
        <v>0</v>
      </c>
      <c r="I25">
        <v>1</v>
      </c>
      <c r="J25">
        <v>1</v>
      </c>
    </row>
    <row r="26" spans="1:10" x14ac:dyDescent="0.3">
      <c r="A26" t="s">
        <v>89</v>
      </c>
      <c r="B26" s="15">
        <v>42697</v>
      </c>
      <c r="C26" s="15">
        <v>42370</v>
      </c>
      <c r="D26" s="15">
        <v>42675</v>
      </c>
      <c r="E26">
        <v>1</v>
      </c>
      <c r="F26">
        <v>1</v>
      </c>
      <c r="G26">
        <v>1</v>
      </c>
      <c r="H26">
        <v>0</v>
      </c>
      <c r="I26">
        <v>0</v>
      </c>
      <c r="J26">
        <v>1</v>
      </c>
    </row>
    <row r="27" spans="1:10" x14ac:dyDescent="0.3">
      <c r="A27" t="s">
        <v>6</v>
      </c>
      <c r="B27" s="15">
        <v>42703</v>
      </c>
      <c r="C27" s="15">
        <v>42370</v>
      </c>
      <c r="D27" s="15">
        <v>42675</v>
      </c>
      <c r="E27">
        <v>5</v>
      </c>
      <c r="F27">
        <v>1</v>
      </c>
      <c r="G27">
        <v>0</v>
      </c>
      <c r="H27">
        <v>0</v>
      </c>
      <c r="I27">
        <v>1</v>
      </c>
      <c r="J27">
        <v>1</v>
      </c>
    </row>
    <row r="28" spans="1:10" x14ac:dyDescent="0.3">
      <c r="A28" t="s">
        <v>313</v>
      </c>
      <c r="B28" s="15">
        <v>42741</v>
      </c>
      <c r="C28" s="15">
        <v>42736</v>
      </c>
      <c r="D28" s="15">
        <v>42736</v>
      </c>
      <c r="E28">
        <v>4</v>
      </c>
      <c r="F28">
        <v>1</v>
      </c>
      <c r="G28">
        <v>0</v>
      </c>
      <c r="H28">
        <v>1</v>
      </c>
      <c r="I28">
        <v>0</v>
      </c>
      <c r="J28">
        <v>1</v>
      </c>
    </row>
    <row r="29" spans="1:10" x14ac:dyDescent="0.3">
      <c r="A29" t="s">
        <v>178</v>
      </c>
      <c r="B29" s="15">
        <v>42751</v>
      </c>
      <c r="C29" s="15">
        <v>42736</v>
      </c>
      <c r="D29" s="15">
        <v>42736</v>
      </c>
      <c r="E29">
        <v>3</v>
      </c>
      <c r="F29">
        <v>1</v>
      </c>
      <c r="G29">
        <v>1</v>
      </c>
      <c r="H29">
        <v>0</v>
      </c>
      <c r="I29">
        <v>0</v>
      </c>
      <c r="J29">
        <v>1</v>
      </c>
    </row>
    <row r="30" spans="1:10" x14ac:dyDescent="0.3">
      <c r="A30" t="s">
        <v>6</v>
      </c>
      <c r="B30" s="15">
        <v>42751</v>
      </c>
      <c r="C30" s="15">
        <v>42736</v>
      </c>
      <c r="D30" s="15">
        <v>42736</v>
      </c>
      <c r="E30">
        <v>3</v>
      </c>
      <c r="F30">
        <v>1</v>
      </c>
      <c r="G30">
        <v>0</v>
      </c>
      <c r="H30">
        <v>0</v>
      </c>
      <c r="I30">
        <v>1</v>
      </c>
      <c r="J30">
        <v>1</v>
      </c>
    </row>
    <row r="31" spans="1:10" x14ac:dyDescent="0.3">
      <c r="A31" t="s">
        <v>6</v>
      </c>
      <c r="B31" s="15">
        <v>42779</v>
      </c>
      <c r="C31" s="15">
        <v>42736</v>
      </c>
      <c r="D31" s="15">
        <v>42767</v>
      </c>
      <c r="E31">
        <v>4</v>
      </c>
      <c r="F31">
        <v>1</v>
      </c>
      <c r="G31">
        <v>0</v>
      </c>
      <c r="H31">
        <v>0</v>
      </c>
      <c r="I31">
        <v>1</v>
      </c>
      <c r="J31">
        <v>1</v>
      </c>
    </row>
    <row r="32" spans="1:10" x14ac:dyDescent="0.3">
      <c r="A32" t="s">
        <v>6</v>
      </c>
      <c r="B32" s="15">
        <v>42819</v>
      </c>
      <c r="C32" s="15">
        <v>42736</v>
      </c>
      <c r="D32" s="15">
        <v>42795</v>
      </c>
      <c r="E32">
        <v>5</v>
      </c>
      <c r="F32">
        <v>1</v>
      </c>
      <c r="G32">
        <v>0</v>
      </c>
      <c r="H32">
        <v>0</v>
      </c>
      <c r="I32">
        <v>1</v>
      </c>
      <c r="J32">
        <v>1</v>
      </c>
    </row>
    <row r="33" spans="1:10" x14ac:dyDescent="0.3">
      <c r="A33" t="s">
        <v>6</v>
      </c>
      <c r="B33" s="15">
        <v>42859</v>
      </c>
      <c r="C33" s="15">
        <v>42736</v>
      </c>
      <c r="D33" s="15">
        <v>42856</v>
      </c>
      <c r="E33">
        <v>5</v>
      </c>
      <c r="F33">
        <v>1</v>
      </c>
      <c r="G33">
        <v>0</v>
      </c>
      <c r="H33">
        <v>0</v>
      </c>
      <c r="I33">
        <v>1</v>
      </c>
      <c r="J33">
        <v>1</v>
      </c>
    </row>
    <row r="34" spans="1:10" x14ac:dyDescent="0.3">
      <c r="A34" t="s">
        <v>164</v>
      </c>
      <c r="B34" s="15">
        <v>42859</v>
      </c>
      <c r="C34" s="15">
        <v>42736</v>
      </c>
      <c r="D34" s="15">
        <v>42856</v>
      </c>
      <c r="E34">
        <v>5</v>
      </c>
      <c r="F34">
        <v>1</v>
      </c>
      <c r="G34">
        <v>0</v>
      </c>
      <c r="H34">
        <v>0</v>
      </c>
      <c r="I34">
        <v>1</v>
      </c>
      <c r="J34">
        <v>1</v>
      </c>
    </row>
    <row r="35" spans="1:10" x14ac:dyDescent="0.3">
      <c r="A35" t="s">
        <v>134</v>
      </c>
      <c r="B35" s="15">
        <v>42936</v>
      </c>
      <c r="C35" s="15">
        <v>42736</v>
      </c>
      <c r="D35" s="15">
        <v>42917</v>
      </c>
      <c r="E35">
        <v>10</v>
      </c>
      <c r="F35">
        <v>2</v>
      </c>
      <c r="G35">
        <v>0</v>
      </c>
      <c r="H35">
        <v>0</v>
      </c>
      <c r="I35">
        <v>2</v>
      </c>
      <c r="J35">
        <v>2</v>
      </c>
    </row>
    <row r="36" spans="1:10" x14ac:dyDescent="0.3">
      <c r="A36" t="s">
        <v>171</v>
      </c>
      <c r="B36" s="15">
        <v>42936</v>
      </c>
      <c r="C36" s="15">
        <v>42736</v>
      </c>
      <c r="D36" s="15">
        <v>42917</v>
      </c>
      <c r="E36">
        <v>5</v>
      </c>
      <c r="F36">
        <v>1</v>
      </c>
      <c r="G36">
        <v>0</v>
      </c>
      <c r="H36">
        <v>0</v>
      </c>
      <c r="I36">
        <v>1</v>
      </c>
      <c r="J36">
        <v>1</v>
      </c>
    </row>
    <row r="37" spans="1:10" x14ac:dyDescent="0.3">
      <c r="A37" t="s">
        <v>89</v>
      </c>
      <c r="B37" s="15">
        <v>42936</v>
      </c>
      <c r="C37" s="15">
        <v>42736</v>
      </c>
      <c r="D37" s="15">
        <v>42917</v>
      </c>
      <c r="E37">
        <v>5</v>
      </c>
      <c r="F37">
        <v>1</v>
      </c>
      <c r="G37">
        <v>0</v>
      </c>
      <c r="H37">
        <v>0</v>
      </c>
      <c r="I37">
        <v>1</v>
      </c>
      <c r="J37">
        <v>1</v>
      </c>
    </row>
    <row r="38" spans="1:10" x14ac:dyDescent="0.3">
      <c r="A38" t="s">
        <v>178</v>
      </c>
      <c r="B38" s="15">
        <v>42936</v>
      </c>
      <c r="C38" s="15">
        <v>42736</v>
      </c>
      <c r="D38" s="15">
        <v>42917</v>
      </c>
      <c r="E38">
        <v>5</v>
      </c>
      <c r="F38">
        <v>1</v>
      </c>
      <c r="G38">
        <v>0</v>
      </c>
      <c r="H38">
        <v>0</v>
      </c>
      <c r="I38">
        <v>1</v>
      </c>
      <c r="J38">
        <v>1</v>
      </c>
    </row>
    <row r="39" spans="1:10" x14ac:dyDescent="0.3">
      <c r="A39" t="s">
        <v>7</v>
      </c>
      <c r="B39" s="15">
        <v>42936</v>
      </c>
      <c r="C39" s="15">
        <v>42736</v>
      </c>
      <c r="D39" s="15">
        <v>42917</v>
      </c>
      <c r="E39">
        <v>5</v>
      </c>
      <c r="F39">
        <v>1</v>
      </c>
      <c r="G39">
        <v>0</v>
      </c>
      <c r="H39">
        <v>0</v>
      </c>
      <c r="I39">
        <v>1</v>
      </c>
      <c r="J39">
        <v>1</v>
      </c>
    </row>
    <row r="40" spans="1:10" x14ac:dyDescent="0.3">
      <c r="A40" t="s">
        <v>6</v>
      </c>
      <c r="B40" s="15">
        <v>42943</v>
      </c>
      <c r="C40" s="15">
        <v>42736</v>
      </c>
      <c r="D40" s="15">
        <v>42917</v>
      </c>
      <c r="E40">
        <v>5</v>
      </c>
      <c r="F40">
        <v>1</v>
      </c>
      <c r="G40">
        <v>0</v>
      </c>
      <c r="H40">
        <v>0</v>
      </c>
      <c r="I40">
        <v>1</v>
      </c>
      <c r="J40">
        <v>1</v>
      </c>
    </row>
    <row r="41" spans="1:10" x14ac:dyDescent="0.3">
      <c r="A41" t="s">
        <v>6</v>
      </c>
      <c r="B41" s="15">
        <v>42945</v>
      </c>
      <c r="C41" s="15">
        <v>42736</v>
      </c>
      <c r="D41" s="15">
        <v>42917</v>
      </c>
      <c r="E41">
        <v>10</v>
      </c>
      <c r="F41">
        <v>2</v>
      </c>
      <c r="G41">
        <v>0</v>
      </c>
      <c r="H41">
        <v>0</v>
      </c>
      <c r="I41">
        <v>2</v>
      </c>
      <c r="J41">
        <v>2</v>
      </c>
    </row>
    <row r="42" spans="1:10" x14ac:dyDescent="0.3">
      <c r="A42" t="s">
        <v>6</v>
      </c>
      <c r="B42" s="15">
        <v>42998</v>
      </c>
      <c r="C42" s="15">
        <v>42736</v>
      </c>
      <c r="D42" s="15">
        <v>42979</v>
      </c>
      <c r="E42">
        <v>10</v>
      </c>
      <c r="F42">
        <v>2</v>
      </c>
      <c r="G42">
        <v>0</v>
      </c>
      <c r="H42">
        <v>0</v>
      </c>
      <c r="I42">
        <v>2</v>
      </c>
      <c r="J42">
        <v>2</v>
      </c>
    </row>
    <row r="43" spans="1:10" x14ac:dyDescent="0.3">
      <c r="A43" t="s">
        <v>313</v>
      </c>
      <c r="B43" s="15">
        <v>42998</v>
      </c>
      <c r="C43" s="15">
        <v>42736</v>
      </c>
      <c r="D43" s="15">
        <v>42979</v>
      </c>
      <c r="E43">
        <v>5</v>
      </c>
      <c r="F43">
        <v>1</v>
      </c>
      <c r="G43">
        <v>0</v>
      </c>
      <c r="H43">
        <v>0</v>
      </c>
      <c r="I43">
        <v>1</v>
      </c>
      <c r="J43">
        <v>1</v>
      </c>
    </row>
    <row r="44" spans="1:10" x14ac:dyDescent="0.3">
      <c r="A44" t="s">
        <v>7</v>
      </c>
      <c r="B44" s="15">
        <v>42998</v>
      </c>
      <c r="C44" s="15">
        <v>42736</v>
      </c>
      <c r="D44" s="15">
        <v>42979</v>
      </c>
      <c r="E44">
        <v>5</v>
      </c>
      <c r="F44">
        <v>1</v>
      </c>
      <c r="G44">
        <v>0</v>
      </c>
      <c r="H44">
        <v>0</v>
      </c>
      <c r="I44">
        <v>1</v>
      </c>
      <c r="J44">
        <v>1</v>
      </c>
    </row>
    <row r="45" spans="1:10" x14ac:dyDescent="0.3">
      <c r="A45" t="s">
        <v>178</v>
      </c>
      <c r="B45" s="15">
        <v>43004</v>
      </c>
      <c r="C45" s="15">
        <v>42736</v>
      </c>
      <c r="D45" s="15">
        <v>42979</v>
      </c>
      <c r="E45">
        <v>10</v>
      </c>
      <c r="F45">
        <v>2</v>
      </c>
      <c r="G45">
        <v>0</v>
      </c>
      <c r="H45">
        <v>0</v>
      </c>
      <c r="I45">
        <v>2</v>
      </c>
      <c r="J45">
        <v>2</v>
      </c>
    </row>
    <row r="46" spans="1:10" x14ac:dyDescent="0.3">
      <c r="A46" t="s">
        <v>303</v>
      </c>
      <c r="B46" s="15">
        <v>43004</v>
      </c>
      <c r="C46" s="15">
        <v>42736</v>
      </c>
      <c r="D46" s="15">
        <v>42979</v>
      </c>
      <c r="E46">
        <v>10</v>
      </c>
      <c r="F46">
        <v>2</v>
      </c>
      <c r="G46">
        <v>0</v>
      </c>
      <c r="H46">
        <v>0</v>
      </c>
      <c r="I46">
        <v>2</v>
      </c>
      <c r="J46">
        <v>2</v>
      </c>
    </row>
    <row r="47" spans="1:10" x14ac:dyDescent="0.3">
      <c r="A47" t="s">
        <v>6</v>
      </c>
      <c r="B47" s="15">
        <v>43004</v>
      </c>
      <c r="C47" s="15">
        <v>42736</v>
      </c>
      <c r="D47" s="15">
        <v>42979</v>
      </c>
      <c r="E47">
        <v>15</v>
      </c>
      <c r="F47">
        <v>3</v>
      </c>
      <c r="G47">
        <v>0</v>
      </c>
      <c r="H47">
        <v>0</v>
      </c>
      <c r="I47">
        <v>3</v>
      </c>
      <c r="J47">
        <v>3</v>
      </c>
    </row>
    <row r="48" spans="1:10" x14ac:dyDescent="0.3">
      <c r="A48" t="s">
        <v>6</v>
      </c>
      <c r="B48" s="15">
        <v>43042</v>
      </c>
      <c r="C48" s="15">
        <v>42736</v>
      </c>
      <c r="D48" s="15">
        <v>43040</v>
      </c>
      <c r="E48">
        <v>4</v>
      </c>
      <c r="F48">
        <v>1</v>
      </c>
      <c r="G48">
        <v>1</v>
      </c>
      <c r="H48">
        <v>0</v>
      </c>
      <c r="I48">
        <v>0</v>
      </c>
      <c r="J48">
        <v>1</v>
      </c>
    </row>
    <row r="49" spans="1:10" x14ac:dyDescent="0.3">
      <c r="A49" t="s">
        <v>134</v>
      </c>
      <c r="B49" s="15">
        <v>43072</v>
      </c>
      <c r="C49" s="15">
        <v>42736</v>
      </c>
      <c r="D49" s="15">
        <v>43070</v>
      </c>
      <c r="E49">
        <v>2</v>
      </c>
      <c r="F49">
        <v>2</v>
      </c>
      <c r="G49">
        <v>2</v>
      </c>
      <c r="H49">
        <v>0</v>
      </c>
      <c r="I49">
        <v>0</v>
      </c>
      <c r="J49">
        <v>2</v>
      </c>
    </row>
    <row r="50" spans="1:10" x14ac:dyDescent="0.3">
      <c r="A50" t="s">
        <v>164</v>
      </c>
      <c r="B50" s="15">
        <v>43129</v>
      </c>
      <c r="C50" s="15">
        <v>43101</v>
      </c>
      <c r="D50" s="15">
        <v>43101</v>
      </c>
      <c r="E50">
        <v>1</v>
      </c>
      <c r="F50">
        <v>1</v>
      </c>
      <c r="G50">
        <v>1</v>
      </c>
      <c r="H50">
        <v>0</v>
      </c>
      <c r="I50">
        <v>0</v>
      </c>
      <c r="J50">
        <v>1</v>
      </c>
    </row>
    <row r="51" spans="1:10" x14ac:dyDescent="0.3">
      <c r="A51" t="s">
        <v>178</v>
      </c>
      <c r="B51" s="15">
        <v>43129</v>
      </c>
      <c r="C51" s="15">
        <v>43101</v>
      </c>
      <c r="D51" s="15">
        <v>43101</v>
      </c>
      <c r="E51">
        <v>1</v>
      </c>
      <c r="F51">
        <v>1</v>
      </c>
      <c r="G51">
        <v>1</v>
      </c>
      <c r="H51">
        <v>0</v>
      </c>
      <c r="I51">
        <v>0</v>
      </c>
      <c r="J51">
        <v>1</v>
      </c>
    </row>
    <row r="52" spans="1:10" x14ac:dyDescent="0.3">
      <c r="A52" t="s">
        <v>178</v>
      </c>
      <c r="B52" s="15">
        <v>43143</v>
      </c>
      <c r="C52" s="15">
        <v>43101</v>
      </c>
      <c r="D52" s="15">
        <v>43132</v>
      </c>
      <c r="E52">
        <v>8</v>
      </c>
      <c r="F52">
        <v>4</v>
      </c>
      <c r="G52">
        <v>3</v>
      </c>
      <c r="H52">
        <v>0</v>
      </c>
      <c r="I52">
        <v>1</v>
      </c>
      <c r="J52">
        <v>4</v>
      </c>
    </row>
    <row r="53" spans="1:10" x14ac:dyDescent="0.3">
      <c r="A53" t="s">
        <v>134</v>
      </c>
      <c r="B53" s="15">
        <v>43143</v>
      </c>
      <c r="C53" s="15">
        <v>43101</v>
      </c>
      <c r="D53" s="15">
        <v>43132</v>
      </c>
      <c r="E53">
        <v>2</v>
      </c>
      <c r="F53">
        <v>1</v>
      </c>
      <c r="G53">
        <v>1</v>
      </c>
      <c r="H53">
        <v>0</v>
      </c>
      <c r="I53">
        <v>0</v>
      </c>
      <c r="J53">
        <v>1</v>
      </c>
    </row>
    <row r="54" spans="1:10" x14ac:dyDescent="0.3">
      <c r="A54" t="s">
        <v>6</v>
      </c>
      <c r="B54" s="15">
        <v>43143</v>
      </c>
      <c r="C54" s="15">
        <v>43101</v>
      </c>
      <c r="D54" s="15">
        <v>43132</v>
      </c>
      <c r="E54">
        <v>2</v>
      </c>
      <c r="F54">
        <v>1</v>
      </c>
      <c r="G54">
        <v>1</v>
      </c>
      <c r="H54">
        <v>0</v>
      </c>
      <c r="I54">
        <v>0</v>
      </c>
      <c r="J54">
        <v>1</v>
      </c>
    </row>
    <row r="55" spans="1:10" x14ac:dyDescent="0.3">
      <c r="A55" t="s">
        <v>134</v>
      </c>
      <c r="B55" s="15">
        <v>43148</v>
      </c>
      <c r="C55" s="15">
        <v>43101</v>
      </c>
      <c r="D55" s="15">
        <v>43132</v>
      </c>
      <c r="E55">
        <v>4</v>
      </c>
      <c r="F55">
        <v>1</v>
      </c>
      <c r="G55">
        <v>1</v>
      </c>
      <c r="H55">
        <v>0</v>
      </c>
      <c r="I55">
        <v>0</v>
      </c>
      <c r="J55">
        <v>1</v>
      </c>
    </row>
    <row r="56" spans="1:10" x14ac:dyDescent="0.3">
      <c r="A56" t="s">
        <v>164</v>
      </c>
      <c r="B56" s="15">
        <v>43148</v>
      </c>
      <c r="C56" s="15">
        <v>43101</v>
      </c>
      <c r="D56" s="15">
        <v>43132</v>
      </c>
      <c r="E56">
        <v>4</v>
      </c>
      <c r="F56">
        <v>1</v>
      </c>
      <c r="G56">
        <v>1</v>
      </c>
      <c r="H56">
        <v>0</v>
      </c>
      <c r="I56">
        <v>0</v>
      </c>
      <c r="J56">
        <v>1</v>
      </c>
    </row>
    <row r="57" spans="1:10" x14ac:dyDescent="0.3">
      <c r="A57" t="s">
        <v>89</v>
      </c>
      <c r="B57" s="15">
        <v>43158</v>
      </c>
      <c r="C57" s="15">
        <v>43101</v>
      </c>
      <c r="D57" s="15">
        <v>43132</v>
      </c>
      <c r="E57">
        <v>2</v>
      </c>
      <c r="F57">
        <v>1</v>
      </c>
      <c r="G57">
        <v>0</v>
      </c>
      <c r="H57">
        <v>0</v>
      </c>
      <c r="I57">
        <v>1</v>
      </c>
      <c r="J57">
        <v>1</v>
      </c>
    </row>
    <row r="58" spans="1:10" x14ac:dyDescent="0.3">
      <c r="A58" t="s">
        <v>6</v>
      </c>
      <c r="B58" s="15">
        <v>43193</v>
      </c>
      <c r="C58" s="15">
        <v>43101</v>
      </c>
      <c r="D58" s="15">
        <v>43191</v>
      </c>
      <c r="E58">
        <v>1</v>
      </c>
      <c r="F58">
        <v>1</v>
      </c>
      <c r="G58">
        <v>0</v>
      </c>
      <c r="H58">
        <v>1</v>
      </c>
      <c r="I58">
        <v>0</v>
      </c>
      <c r="J58">
        <v>1</v>
      </c>
    </row>
    <row r="59" spans="1:10" x14ac:dyDescent="0.3">
      <c r="A59" t="s">
        <v>6</v>
      </c>
      <c r="B59" s="15">
        <v>43220</v>
      </c>
      <c r="C59" s="15">
        <v>43101</v>
      </c>
      <c r="D59" s="15">
        <v>43191</v>
      </c>
      <c r="E59">
        <v>2</v>
      </c>
      <c r="F59">
        <v>1</v>
      </c>
      <c r="G59">
        <v>1</v>
      </c>
      <c r="H59">
        <v>0</v>
      </c>
      <c r="I59">
        <v>0</v>
      </c>
      <c r="J59">
        <v>1</v>
      </c>
    </row>
    <row r="60" spans="1:10" x14ac:dyDescent="0.3">
      <c r="A60" t="s">
        <v>6</v>
      </c>
      <c r="B60" s="15">
        <v>43271</v>
      </c>
      <c r="C60" s="15">
        <v>43101</v>
      </c>
      <c r="D60" s="15">
        <v>43252</v>
      </c>
      <c r="E60">
        <v>3</v>
      </c>
      <c r="F60">
        <v>1</v>
      </c>
      <c r="G60">
        <v>1</v>
      </c>
      <c r="H60">
        <v>0</v>
      </c>
      <c r="I60">
        <v>0</v>
      </c>
      <c r="J60">
        <v>1</v>
      </c>
    </row>
    <row r="61" spans="1:10" x14ac:dyDescent="0.3">
      <c r="A61" t="s">
        <v>164</v>
      </c>
      <c r="B61" s="15">
        <v>43288</v>
      </c>
      <c r="C61" s="15">
        <v>43101</v>
      </c>
      <c r="D61" s="15">
        <v>43282</v>
      </c>
      <c r="E61">
        <v>2</v>
      </c>
      <c r="F61">
        <v>1</v>
      </c>
      <c r="G61">
        <v>0</v>
      </c>
      <c r="H61">
        <v>1</v>
      </c>
      <c r="I61">
        <v>0</v>
      </c>
      <c r="J61">
        <v>1</v>
      </c>
    </row>
    <row r="62" spans="1:10" x14ac:dyDescent="0.3">
      <c r="A62" t="s">
        <v>6</v>
      </c>
      <c r="B62" s="15">
        <v>43343</v>
      </c>
      <c r="C62" s="15">
        <v>43101</v>
      </c>
      <c r="D62" s="15">
        <v>43313</v>
      </c>
      <c r="E62">
        <v>11</v>
      </c>
      <c r="F62">
        <v>3</v>
      </c>
      <c r="G62">
        <v>0</v>
      </c>
      <c r="H62">
        <v>0</v>
      </c>
      <c r="I62">
        <v>3</v>
      </c>
      <c r="J62">
        <v>3</v>
      </c>
    </row>
    <row r="63" spans="1:10" x14ac:dyDescent="0.3">
      <c r="A63" t="s">
        <v>313</v>
      </c>
      <c r="B63" s="15">
        <v>43343</v>
      </c>
      <c r="C63" s="15">
        <v>43101</v>
      </c>
      <c r="D63" s="15">
        <v>43313</v>
      </c>
      <c r="E63">
        <v>5</v>
      </c>
      <c r="F63">
        <v>1</v>
      </c>
      <c r="G63">
        <v>1</v>
      </c>
      <c r="H63">
        <v>0</v>
      </c>
      <c r="I63">
        <v>0</v>
      </c>
      <c r="J63">
        <v>1</v>
      </c>
    </row>
    <row r="64" spans="1:10" x14ac:dyDescent="0.3">
      <c r="A64" t="s">
        <v>6</v>
      </c>
      <c r="B64" s="15">
        <v>43422</v>
      </c>
      <c r="C64" s="15">
        <v>43101</v>
      </c>
      <c r="D64" s="15">
        <v>43405</v>
      </c>
      <c r="E64">
        <v>5</v>
      </c>
      <c r="F64">
        <v>1</v>
      </c>
      <c r="G64">
        <v>0</v>
      </c>
      <c r="H64">
        <v>0</v>
      </c>
      <c r="I64">
        <v>1</v>
      </c>
      <c r="J64">
        <v>1</v>
      </c>
    </row>
    <row r="65" spans="1:10" x14ac:dyDescent="0.3">
      <c r="A65" t="s">
        <v>178</v>
      </c>
      <c r="B65" s="15">
        <v>43424</v>
      </c>
      <c r="C65" s="15">
        <v>43101</v>
      </c>
      <c r="D65" s="15">
        <v>43405</v>
      </c>
      <c r="E65">
        <v>3</v>
      </c>
      <c r="F65">
        <v>1</v>
      </c>
      <c r="G65">
        <v>1</v>
      </c>
      <c r="H65">
        <v>0</v>
      </c>
      <c r="I65">
        <v>0</v>
      </c>
      <c r="J65">
        <v>1</v>
      </c>
    </row>
    <row r="66" spans="1:10" x14ac:dyDescent="0.3">
      <c r="A66" t="s">
        <v>6</v>
      </c>
      <c r="B66" s="15">
        <v>43424</v>
      </c>
      <c r="C66" s="15">
        <v>43101</v>
      </c>
      <c r="D66" s="15">
        <v>43405</v>
      </c>
      <c r="E66">
        <v>6</v>
      </c>
      <c r="F66">
        <v>2</v>
      </c>
      <c r="G66">
        <v>2</v>
      </c>
      <c r="H66">
        <v>0</v>
      </c>
      <c r="I66">
        <v>0</v>
      </c>
      <c r="J66">
        <v>2</v>
      </c>
    </row>
    <row r="67" spans="1:10" x14ac:dyDescent="0.3">
      <c r="A67" t="s">
        <v>178</v>
      </c>
      <c r="B67" s="15">
        <v>43437</v>
      </c>
      <c r="C67" s="15">
        <v>43101</v>
      </c>
      <c r="D67" s="15">
        <v>43435</v>
      </c>
      <c r="E67">
        <v>1</v>
      </c>
      <c r="F67">
        <v>1</v>
      </c>
      <c r="G67">
        <v>1</v>
      </c>
      <c r="H67">
        <v>0</v>
      </c>
      <c r="I67">
        <v>0</v>
      </c>
      <c r="J67">
        <v>1</v>
      </c>
    </row>
    <row r="68" spans="1:10" x14ac:dyDescent="0.3">
      <c r="A68" t="s">
        <v>6</v>
      </c>
      <c r="B68" s="15">
        <v>43437</v>
      </c>
      <c r="C68" s="15">
        <v>43101</v>
      </c>
      <c r="D68" s="15">
        <v>43435</v>
      </c>
      <c r="E68">
        <v>1</v>
      </c>
      <c r="F68">
        <v>1</v>
      </c>
      <c r="G68">
        <v>0</v>
      </c>
      <c r="H68">
        <v>0</v>
      </c>
      <c r="I68">
        <v>1</v>
      </c>
      <c r="J68">
        <v>1</v>
      </c>
    </row>
    <row r="69" spans="1:10" x14ac:dyDescent="0.3">
      <c r="A69" t="s">
        <v>89</v>
      </c>
      <c r="B69" s="15">
        <v>43463</v>
      </c>
      <c r="C69" s="15">
        <v>43101</v>
      </c>
      <c r="D69" s="15">
        <v>43435</v>
      </c>
      <c r="E69">
        <v>4</v>
      </c>
      <c r="F69">
        <v>1</v>
      </c>
      <c r="G69">
        <v>1</v>
      </c>
      <c r="H69">
        <v>0</v>
      </c>
      <c r="I69">
        <v>0</v>
      </c>
      <c r="J69">
        <v>1</v>
      </c>
    </row>
    <row r="70" spans="1:10" x14ac:dyDescent="0.3">
      <c r="A70" t="s">
        <v>313</v>
      </c>
      <c r="B70" s="15">
        <v>43463</v>
      </c>
      <c r="C70" s="15">
        <v>43101</v>
      </c>
      <c r="D70" s="15">
        <v>43435</v>
      </c>
      <c r="E70">
        <v>4</v>
      </c>
      <c r="F70">
        <v>1</v>
      </c>
      <c r="G70">
        <v>0</v>
      </c>
      <c r="H70">
        <v>0</v>
      </c>
      <c r="I70">
        <v>1</v>
      </c>
      <c r="J70">
        <v>1</v>
      </c>
    </row>
    <row r="71" spans="1:10" x14ac:dyDescent="0.3">
      <c r="A71" t="s">
        <v>178</v>
      </c>
      <c r="B71" s="15">
        <v>43472</v>
      </c>
      <c r="C71" s="15">
        <v>43466</v>
      </c>
      <c r="D71" s="15">
        <v>43466</v>
      </c>
      <c r="E71">
        <v>5</v>
      </c>
      <c r="F71">
        <v>1</v>
      </c>
      <c r="G71">
        <v>1</v>
      </c>
      <c r="H71">
        <v>0</v>
      </c>
      <c r="I71">
        <v>0</v>
      </c>
      <c r="J71">
        <v>1</v>
      </c>
    </row>
    <row r="72" spans="1:10" x14ac:dyDescent="0.3">
      <c r="A72" t="s">
        <v>6</v>
      </c>
      <c r="B72" s="15">
        <v>43472</v>
      </c>
      <c r="C72" s="15">
        <v>43466</v>
      </c>
      <c r="D72" s="15">
        <v>43466</v>
      </c>
      <c r="E72">
        <v>5</v>
      </c>
      <c r="F72">
        <v>1</v>
      </c>
      <c r="G72">
        <v>0</v>
      </c>
      <c r="H72">
        <v>0</v>
      </c>
      <c r="I72">
        <v>1</v>
      </c>
      <c r="J72">
        <v>1</v>
      </c>
    </row>
    <row r="73" spans="1:10" x14ac:dyDescent="0.3">
      <c r="A73" t="s">
        <v>89</v>
      </c>
      <c r="B73" s="15">
        <v>43493</v>
      </c>
      <c r="C73" s="15">
        <v>43466</v>
      </c>
      <c r="D73" s="15">
        <v>43466</v>
      </c>
      <c r="E73">
        <v>1</v>
      </c>
      <c r="F73">
        <v>1</v>
      </c>
      <c r="G73">
        <v>0</v>
      </c>
      <c r="H73">
        <v>1</v>
      </c>
      <c r="I73">
        <v>0</v>
      </c>
      <c r="J73">
        <v>1</v>
      </c>
    </row>
    <row r="74" spans="1:10" x14ac:dyDescent="0.3">
      <c r="A74" t="s">
        <v>178</v>
      </c>
      <c r="B74" s="15">
        <v>43497</v>
      </c>
      <c r="C74" s="15">
        <v>43466</v>
      </c>
      <c r="D74" s="15">
        <v>43497</v>
      </c>
      <c r="E74">
        <v>10</v>
      </c>
      <c r="F74">
        <v>2</v>
      </c>
      <c r="G74">
        <v>0</v>
      </c>
      <c r="H74">
        <v>0</v>
      </c>
      <c r="I74">
        <v>2</v>
      </c>
      <c r="J74">
        <v>2</v>
      </c>
    </row>
    <row r="75" spans="1:10" x14ac:dyDescent="0.3">
      <c r="A75" t="s">
        <v>6</v>
      </c>
      <c r="B75" s="15">
        <v>43497</v>
      </c>
      <c r="C75" s="15">
        <v>43466</v>
      </c>
      <c r="D75" s="15">
        <v>43497</v>
      </c>
      <c r="E75">
        <v>5</v>
      </c>
      <c r="F75">
        <v>1</v>
      </c>
      <c r="G75">
        <v>0</v>
      </c>
      <c r="H75">
        <v>0</v>
      </c>
      <c r="I75">
        <v>1</v>
      </c>
      <c r="J75">
        <v>1</v>
      </c>
    </row>
    <row r="76" spans="1:10" x14ac:dyDescent="0.3">
      <c r="A76" t="s">
        <v>313</v>
      </c>
      <c r="B76" s="15">
        <v>43497</v>
      </c>
      <c r="C76" s="15">
        <v>43466</v>
      </c>
      <c r="D76" s="15">
        <v>43497</v>
      </c>
      <c r="E76">
        <v>10</v>
      </c>
      <c r="F76">
        <v>2</v>
      </c>
      <c r="G76">
        <v>2</v>
      </c>
      <c r="H76">
        <v>0</v>
      </c>
      <c r="I76">
        <v>0</v>
      </c>
      <c r="J76">
        <v>2</v>
      </c>
    </row>
    <row r="77" spans="1:10" x14ac:dyDescent="0.3">
      <c r="A77" t="s">
        <v>6</v>
      </c>
      <c r="B77" s="15">
        <v>43502</v>
      </c>
      <c r="C77" s="15">
        <v>43466</v>
      </c>
      <c r="D77" s="15">
        <v>43497</v>
      </c>
      <c r="E77">
        <v>5</v>
      </c>
      <c r="F77">
        <v>1</v>
      </c>
      <c r="G77">
        <v>0</v>
      </c>
      <c r="H77">
        <v>0</v>
      </c>
      <c r="I77">
        <v>1</v>
      </c>
      <c r="J77">
        <v>1</v>
      </c>
    </row>
    <row r="78" spans="1:10" x14ac:dyDescent="0.3">
      <c r="A78" t="s">
        <v>89</v>
      </c>
      <c r="B78" s="15">
        <v>43502</v>
      </c>
      <c r="C78" s="15">
        <v>43466</v>
      </c>
      <c r="D78" s="15">
        <v>43497</v>
      </c>
      <c r="E78">
        <v>5</v>
      </c>
      <c r="F78">
        <v>1</v>
      </c>
      <c r="G78">
        <v>0</v>
      </c>
      <c r="H78">
        <v>0</v>
      </c>
      <c r="I78">
        <v>1</v>
      </c>
      <c r="J78">
        <v>1</v>
      </c>
    </row>
    <row r="79" spans="1:10" x14ac:dyDescent="0.3">
      <c r="A79" t="s">
        <v>178</v>
      </c>
      <c r="B79" s="15">
        <v>43502</v>
      </c>
      <c r="C79" s="15">
        <v>43466</v>
      </c>
      <c r="D79" s="15">
        <v>43497</v>
      </c>
      <c r="E79">
        <v>10</v>
      </c>
      <c r="F79">
        <v>2</v>
      </c>
      <c r="G79">
        <v>1</v>
      </c>
      <c r="H79">
        <v>0</v>
      </c>
      <c r="I79">
        <v>1</v>
      </c>
      <c r="J79">
        <v>2</v>
      </c>
    </row>
    <row r="80" spans="1:10" x14ac:dyDescent="0.3">
      <c r="A80" t="s">
        <v>7</v>
      </c>
      <c r="B80" s="15">
        <v>43518</v>
      </c>
      <c r="C80" s="15">
        <v>43466</v>
      </c>
      <c r="D80" s="15">
        <v>43497</v>
      </c>
      <c r="E80">
        <v>5</v>
      </c>
      <c r="F80">
        <v>1</v>
      </c>
      <c r="G80">
        <v>0</v>
      </c>
      <c r="H80">
        <v>0</v>
      </c>
      <c r="I80">
        <v>1</v>
      </c>
      <c r="J80">
        <v>1</v>
      </c>
    </row>
    <row r="81" spans="1:10" x14ac:dyDescent="0.3">
      <c r="A81" t="s">
        <v>313</v>
      </c>
      <c r="B81" s="15">
        <v>43518</v>
      </c>
      <c r="C81" s="15">
        <v>43466</v>
      </c>
      <c r="D81" s="15">
        <v>43497</v>
      </c>
      <c r="E81">
        <v>5</v>
      </c>
      <c r="F81">
        <v>1</v>
      </c>
      <c r="G81">
        <v>1</v>
      </c>
      <c r="H81">
        <v>0</v>
      </c>
      <c r="I81">
        <v>0</v>
      </c>
      <c r="J81">
        <v>1</v>
      </c>
    </row>
    <row r="82" spans="1:10" x14ac:dyDescent="0.3">
      <c r="A82" t="s">
        <v>303</v>
      </c>
      <c r="B82" s="15">
        <v>43520</v>
      </c>
      <c r="C82" s="15">
        <v>43466</v>
      </c>
      <c r="D82" s="15">
        <v>43497</v>
      </c>
      <c r="E82">
        <v>1</v>
      </c>
      <c r="F82">
        <v>1</v>
      </c>
      <c r="G82">
        <v>1</v>
      </c>
      <c r="H82">
        <v>0</v>
      </c>
      <c r="I82">
        <v>0</v>
      </c>
      <c r="J82">
        <v>1</v>
      </c>
    </row>
    <row r="83" spans="1:10" x14ac:dyDescent="0.3">
      <c r="A83" t="s">
        <v>6</v>
      </c>
      <c r="B83" s="15">
        <v>43520</v>
      </c>
      <c r="C83" s="15">
        <v>43466</v>
      </c>
      <c r="D83" s="15">
        <v>43497</v>
      </c>
      <c r="E83">
        <v>1</v>
      </c>
      <c r="F83">
        <v>1</v>
      </c>
      <c r="G83">
        <v>1</v>
      </c>
      <c r="H83">
        <v>0</v>
      </c>
      <c r="I83">
        <v>0</v>
      </c>
      <c r="J83">
        <v>1</v>
      </c>
    </row>
    <row r="84" spans="1:10" x14ac:dyDescent="0.3">
      <c r="A84" t="s">
        <v>178</v>
      </c>
      <c r="B84" s="15">
        <v>43522</v>
      </c>
      <c r="C84" s="15">
        <v>43466</v>
      </c>
      <c r="D84" s="15">
        <v>43497</v>
      </c>
      <c r="E84">
        <v>2</v>
      </c>
      <c r="F84">
        <v>2</v>
      </c>
      <c r="G84">
        <v>2</v>
      </c>
      <c r="H84">
        <v>0</v>
      </c>
      <c r="I84">
        <v>0</v>
      </c>
      <c r="J84">
        <v>2</v>
      </c>
    </row>
    <row r="85" spans="1:10" x14ac:dyDescent="0.3">
      <c r="A85" t="s">
        <v>178</v>
      </c>
      <c r="B85" s="15">
        <v>43537</v>
      </c>
      <c r="C85" s="15">
        <v>43466</v>
      </c>
      <c r="D85" s="15">
        <v>43525</v>
      </c>
      <c r="E85">
        <v>8</v>
      </c>
      <c r="F85">
        <v>2</v>
      </c>
      <c r="G85">
        <v>0</v>
      </c>
      <c r="H85">
        <v>0</v>
      </c>
      <c r="I85">
        <v>2</v>
      </c>
      <c r="J85">
        <v>2</v>
      </c>
    </row>
    <row r="86" spans="1:10" x14ac:dyDescent="0.3">
      <c r="A86" t="s">
        <v>7</v>
      </c>
      <c r="B86" s="15">
        <v>43537</v>
      </c>
      <c r="C86" s="15">
        <v>43466</v>
      </c>
      <c r="D86" s="15">
        <v>43525</v>
      </c>
      <c r="E86">
        <v>4</v>
      </c>
      <c r="F86">
        <v>1</v>
      </c>
      <c r="G86">
        <v>0</v>
      </c>
      <c r="H86">
        <v>0</v>
      </c>
      <c r="I86">
        <v>1</v>
      </c>
      <c r="J86">
        <v>1</v>
      </c>
    </row>
    <row r="87" spans="1:10" x14ac:dyDescent="0.3">
      <c r="A87" t="s">
        <v>134</v>
      </c>
      <c r="B87" s="15">
        <v>43537</v>
      </c>
      <c r="C87" s="15">
        <v>43466</v>
      </c>
      <c r="D87" s="15">
        <v>43525</v>
      </c>
      <c r="E87">
        <v>4</v>
      </c>
      <c r="F87">
        <v>1</v>
      </c>
      <c r="G87">
        <v>1</v>
      </c>
      <c r="H87">
        <v>0</v>
      </c>
      <c r="I87">
        <v>0</v>
      </c>
      <c r="J87">
        <v>1</v>
      </c>
    </row>
    <row r="88" spans="1:10" x14ac:dyDescent="0.3">
      <c r="A88" t="s">
        <v>6</v>
      </c>
      <c r="B88" s="15">
        <v>43537</v>
      </c>
      <c r="C88" s="15">
        <v>43466</v>
      </c>
      <c r="D88" s="15">
        <v>43525</v>
      </c>
      <c r="E88">
        <v>4</v>
      </c>
      <c r="F88">
        <v>1</v>
      </c>
      <c r="G88">
        <v>0</v>
      </c>
      <c r="H88">
        <v>0</v>
      </c>
      <c r="I88">
        <v>1</v>
      </c>
      <c r="J88">
        <v>1</v>
      </c>
    </row>
    <row r="89" spans="1:10" x14ac:dyDescent="0.3">
      <c r="A89" t="s">
        <v>134</v>
      </c>
      <c r="B89" s="15">
        <v>43540</v>
      </c>
      <c r="C89" s="15">
        <v>43466</v>
      </c>
      <c r="D89" s="15">
        <v>43525</v>
      </c>
      <c r="E89">
        <v>1</v>
      </c>
      <c r="F89">
        <v>1</v>
      </c>
      <c r="G89">
        <v>1</v>
      </c>
      <c r="H89">
        <v>0</v>
      </c>
      <c r="I89">
        <v>0</v>
      </c>
      <c r="J89">
        <v>1</v>
      </c>
    </row>
    <row r="90" spans="1:10" x14ac:dyDescent="0.3">
      <c r="A90" t="s">
        <v>178</v>
      </c>
      <c r="B90" s="15">
        <v>43551</v>
      </c>
      <c r="C90" s="15">
        <v>43466</v>
      </c>
      <c r="D90" s="15">
        <v>43525</v>
      </c>
      <c r="E90">
        <v>1</v>
      </c>
      <c r="F90">
        <v>1</v>
      </c>
      <c r="G90">
        <v>1</v>
      </c>
      <c r="H90">
        <v>0</v>
      </c>
      <c r="I90">
        <v>0</v>
      </c>
      <c r="J90">
        <v>1</v>
      </c>
    </row>
    <row r="91" spans="1:10" x14ac:dyDescent="0.3">
      <c r="A91" t="s">
        <v>6</v>
      </c>
      <c r="B91" s="15">
        <v>43551</v>
      </c>
      <c r="C91" s="15">
        <v>43466</v>
      </c>
      <c r="D91" s="15">
        <v>43525</v>
      </c>
      <c r="E91">
        <v>1</v>
      </c>
      <c r="F91">
        <v>1</v>
      </c>
      <c r="G91">
        <v>1</v>
      </c>
      <c r="H91">
        <v>0</v>
      </c>
      <c r="I91">
        <v>0</v>
      </c>
      <c r="J91">
        <v>1</v>
      </c>
    </row>
    <row r="92" spans="1:10" x14ac:dyDescent="0.3">
      <c r="A92" t="s">
        <v>7</v>
      </c>
      <c r="B92" s="15">
        <v>43557</v>
      </c>
      <c r="C92" s="15">
        <v>43466</v>
      </c>
      <c r="D92" s="15">
        <v>43556</v>
      </c>
      <c r="E92">
        <v>5</v>
      </c>
      <c r="F92">
        <v>1</v>
      </c>
      <c r="G92">
        <v>0</v>
      </c>
      <c r="H92">
        <v>0</v>
      </c>
      <c r="I92">
        <v>1</v>
      </c>
      <c r="J92">
        <v>1</v>
      </c>
    </row>
    <row r="93" spans="1:10" x14ac:dyDescent="0.3">
      <c r="A93" t="s">
        <v>6</v>
      </c>
      <c r="B93" s="15">
        <v>43558</v>
      </c>
      <c r="C93" s="15">
        <v>43466</v>
      </c>
      <c r="D93" s="15">
        <v>43556</v>
      </c>
      <c r="E93">
        <v>5</v>
      </c>
      <c r="F93">
        <v>1</v>
      </c>
      <c r="G93">
        <v>0</v>
      </c>
      <c r="H93">
        <v>0</v>
      </c>
      <c r="I93">
        <v>1</v>
      </c>
      <c r="J93">
        <v>1</v>
      </c>
    </row>
    <row r="94" spans="1:10" x14ac:dyDescent="0.3">
      <c r="A94" t="s">
        <v>178</v>
      </c>
      <c r="B94" s="15">
        <v>43558</v>
      </c>
      <c r="C94" s="15">
        <v>43466</v>
      </c>
      <c r="D94" s="15">
        <v>43556</v>
      </c>
      <c r="E94">
        <v>5</v>
      </c>
      <c r="F94">
        <v>1</v>
      </c>
      <c r="G94">
        <v>0</v>
      </c>
      <c r="H94">
        <v>0</v>
      </c>
      <c r="I94">
        <v>1</v>
      </c>
      <c r="J94">
        <v>1</v>
      </c>
    </row>
    <row r="95" spans="1:10" x14ac:dyDescent="0.3">
      <c r="A95" t="s">
        <v>171</v>
      </c>
      <c r="B95" s="15">
        <v>43600</v>
      </c>
      <c r="C95" s="15">
        <v>43466</v>
      </c>
      <c r="D95" s="15">
        <v>43586</v>
      </c>
      <c r="E95">
        <v>5</v>
      </c>
      <c r="F95">
        <v>1</v>
      </c>
      <c r="G95">
        <v>1</v>
      </c>
      <c r="H95">
        <v>0</v>
      </c>
      <c r="I95">
        <v>0</v>
      </c>
      <c r="J95">
        <v>1</v>
      </c>
    </row>
    <row r="96" spans="1:10" x14ac:dyDescent="0.3">
      <c r="A96" t="s">
        <v>7</v>
      </c>
      <c r="B96" s="15">
        <v>43601</v>
      </c>
      <c r="C96" s="15">
        <v>43466</v>
      </c>
      <c r="D96" s="15">
        <v>43586</v>
      </c>
      <c r="E96">
        <v>5</v>
      </c>
      <c r="F96">
        <v>1</v>
      </c>
      <c r="G96">
        <v>0</v>
      </c>
      <c r="H96">
        <v>0</v>
      </c>
      <c r="I96">
        <v>1</v>
      </c>
      <c r="J96">
        <v>1</v>
      </c>
    </row>
    <row r="97" spans="1:10" x14ac:dyDescent="0.3">
      <c r="A97" t="s">
        <v>6</v>
      </c>
      <c r="B97" s="15">
        <v>43601</v>
      </c>
      <c r="C97" s="15">
        <v>43466</v>
      </c>
      <c r="D97" s="15">
        <v>43586</v>
      </c>
      <c r="E97">
        <v>5</v>
      </c>
      <c r="F97">
        <v>1</v>
      </c>
      <c r="G97">
        <v>0</v>
      </c>
      <c r="H97">
        <v>0</v>
      </c>
      <c r="I97">
        <v>1</v>
      </c>
      <c r="J97">
        <v>1</v>
      </c>
    </row>
    <row r="98" spans="1:10" x14ac:dyDescent="0.3">
      <c r="A98" t="s">
        <v>89</v>
      </c>
      <c r="B98" s="15">
        <v>43602</v>
      </c>
      <c r="C98" s="15">
        <v>43466</v>
      </c>
      <c r="D98" s="15">
        <v>43586</v>
      </c>
      <c r="E98">
        <v>5</v>
      </c>
      <c r="F98">
        <v>1</v>
      </c>
      <c r="G98">
        <v>0</v>
      </c>
      <c r="H98">
        <v>0</v>
      </c>
      <c r="I98">
        <v>1</v>
      </c>
      <c r="J98">
        <v>1</v>
      </c>
    </row>
    <row r="99" spans="1:10" x14ac:dyDescent="0.3">
      <c r="A99" t="s">
        <v>89</v>
      </c>
      <c r="B99" s="15">
        <v>43621</v>
      </c>
      <c r="C99" s="15">
        <v>43466</v>
      </c>
      <c r="D99" s="15">
        <v>43617</v>
      </c>
      <c r="E99">
        <v>5</v>
      </c>
      <c r="F99">
        <v>1</v>
      </c>
      <c r="G99">
        <v>0</v>
      </c>
      <c r="H99">
        <v>1</v>
      </c>
      <c r="I99">
        <v>0</v>
      </c>
      <c r="J99">
        <v>1</v>
      </c>
    </row>
    <row r="100" spans="1:10" x14ac:dyDescent="0.3">
      <c r="A100" t="s">
        <v>6</v>
      </c>
      <c r="B100" s="15">
        <v>43629</v>
      </c>
      <c r="C100" s="15">
        <v>43466</v>
      </c>
      <c r="D100" s="15">
        <v>43617</v>
      </c>
      <c r="E100">
        <v>10</v>
      </c>
      <c r="F100">
        <v>2</v>
      </c>
      <c r="G100">
        <v>0</v>
      </c>
      <c r="H100">
        <v>2</v>
      </c>
      <c r="I100">
        <v>0</v>
      </c>
      <c r="J100">
        <v>2</v>
      </c>
    </row>
    <row r="101" spans="1:10" x14ac:dyDescent="0.3">
      <c r="A101" t="s">
        <v>313</v>
      </c>
      <c r="B101" s="15">
        <v>43629</v>
      </c>
      <c r="C101" s="15">
        <v>43466</v>
      </c>
      <c r="D101" s="15">
        <v>43617</v>
      </c>
      <c r="E101">
        <v>5</v>
      </c>
      <c r="F101">
        <v>1</v>
      </c>
      <c r="G101">
        <v>0</v>
      </c>
      <c r="H101">
        <v>0</v>
      </c>
      <c r="I101">
        <v>1</v>
      </c>
      <c r="J101">
        <v>1</v>
      </c>
    </row>
    <row r="102" spans="1:10" x14ac:dyDescent="0.3">
      <c r="A102" t="s">
        <v>178</v>
      </c>
      <c r="B102" s="15">
        <v>43629</v>
      </c>
      <c r="C102" s="15">
        <v>43466</v>
      </c>
      <c r="D102" s="15">
        <v>43617</v>
      </c>
      <c r="E102">
        <v>10</v>
      </c>
      <c r="F102">
        <v>2</v>
      </c>
      <c r="G102">
        <v>0</v>
      </c>
      <c r="H102">
        <v>0</v>
      </c>
      <c r="I102">
        <v>2</v>
      </c>
      <c r="J102">
        <v>2</v>
      </c>
    </row>
    <row r="103" spans="1:10" x14ac:dyDescent="0.3">
      <c r="A103" t="s">
        <v>7</v>
      </c>
      <c r="B103" s="15">
        <v>43638</v>
      </c>
      <c r="C103" s="15">
        <v>43466</v>
      </c>
      <c r="D103" s="15">
        <v>43617</v>
      </c>
      <c r="E103">
        <v>1</v>
      </c>
      <c r="F103">
        <v>1</v>
      </c>
      <c r="G103">
        <v>1</v>
      </c>
      <c r="H103">
        <v>0</v>
      </c>
      <c r="I103">
        <v>0</v>
      </c>
      <c r="J103">
        <v>1</v>
      </c>
    </row>
    <row r="104" spans="1:10" x14ac:dyDescent="0.3">
      <c r="A104" t="s">
        <v>134</v>
      </c>
      <c r="B104" s="15">
        <v>43638</v>
      </c>
      <c r="C104" s="15">
        <v>43466</v>
      </c>
      <c r="D104" s="15">
        <v>43617</v>
      </c>
      <c r="E104">
        <v>1</v>
      </c>
      <c r="F104">
        <v>1</v>
      </c>
      <c r="G104">
        <v>1</v>
      </c>
      <c r="H104">
        <v>0</v>
      </c>
      <c r="I104">
        <v>0</v>
      </c>
      <c r="J104">
        <v>1</v>
      </c>
    </row>
    <row r="105" spans="1:10" x14ac:dyDescent="0.3">
      <c r="A105" t="s">
        <v>164</v>
      </c>
      <c r="B105" s="15">
        <v>43638</v>
      </c>
      <c r="C105" s="15">
        <v>43466</v>
      </c>
      <c r="D105" s="15">
        <v>43617</v>
      </c>
      <c r="E105">
        <v>1</v>
      </c>
      <c r="F105">
        <v>1</v>
      </c>
      <c r="G105">
        <v>0</v>
      </c>
      <c r="H105">
        <v>0</v>
      </c>
      <c r="I105">
        <v>1</v>
      </c>
      <c r="J105">
        <v>1</v>
      </c>
    </row>
    <row r="106" spans="1:10" x14ac:dyDescent="0.3">
      <c r="A106" t="s">
        <v>178</v>
      </c>
      <c r="B106" s="15">
        <v>43679</v>
      </c>
      <c r="C106" s="15">
        <v>43466</v>
      </c>
      <c r="D106" s="15">
        <v>43678</v>
      </c>
      <c r="E106">
        <v>6</v>
      </c>
      <c r="F106">
        <v>2</v>
      </c>
      <c r="G106">
        <v>2</v>
      </c>
      <c r="H106">
        <v>0</v>
      </c>
      <c r="I106">
        <v>0</v>
      </c>
      <c r="J106">
        <v>2</v>
      </c>
    </row>
    <row r="107" spans="1:10" x14ac:dyDescent="0.3">
      <c r="A107" t="s">
        <v>134</v>
      </c>
      <c r="B107" s="15">
        <v>43688</v>
      </c>
      <c r="C107" s="15">
        <v>43466</v>
      </c>
      <c r="D107" s="15">
        <v>43678</v>
      </c>
      <c r="E107">
        <v>1</v>
      </c>
      <c r="F107">
        <v>1</v>
      </c>
      <c r="G107">
        <v>1</v>
      </c>
      <c r="H107">
        <v>0</v>
      </c>
      <c r="I107">
        <v>0</v>
      </c>
      <c r="J107">
        <v>1</v>
      </c>
    </row>
    <row r="108" spans="1:10" x14ac:dyDescent="0.3">
      <c r="A108" t="s">
        <v>164</v>
      </c>
      <c r="B108" s="15">
        <v>43688</v>
      </c>
      <c r="C108" s="15">
        <v>43466</v>
      </c>
      <c r="D108" s="15">
        <v>43678</v>
      </c>
      <c r="E108">
        <v>1</v>
      </c>
      <c r="F108">
        <v>1</v>
      </c>
      <c r="G108">
        <v>0</v>
      </c>
      <c r="H108">
        <v>0</v>
      </c>
      <c r="I108">
        <v>1</v>
      </c>
      <c r="J108">
        <v>1</v>
      </c>
    </row>
    <row r="109" spans="1:10" x14ac:dyDescent="0.3">
      <c r="A109" t="s">
        <v>6</v>
      </c>
      <c r="B109" s="15">
        <v>43689</v>
      </c>
      <c r="C109" s="15">
        <v>43466</v>
      </c>
      <c r="D109" s="15">
        <v>43678</v>
      </c>
      <c r="E109">
        <v>10</v>
      </c>
      <c r="F109">
        <v>2</v>
      </c>
      <c r="G109">
        <v>1</v>
      </c>
      <c r="H109">
        <v>0</v>
      </c>
      <c r="I109">
        <v>1</v>
      </c>
      <c r="J109">
        <v>2</v>
      </c>
    </row>
    <row r="110" spans="1:10" x14ac:dyDescent="0.3">
      <c r="A110" t="s">
        <v>178</v>
      </c>
      <c r="B110" s="15">
        <v>43689</v>
      </c>
      <c r="C110" s="15">
        <v>43466</v>
      </c>
      <c r="D110" s="15">
        <v>43678</v>
      </c>
      <c r="E110">
        <v>5</v>
      </c>
      <c r="F110">
        <v>1</v>
      </c>
      <c r="G110">
        <v>1</v>
      </c>
      <c r="H110">
        <v>0</v>
      </c>
      <c r="I110">
        <v>0</v>
      </c>
      <c r="J110">
        <v>1</v>
      </c>
    </row>
    <row r="111" spans="1:10" x14ac:dyDescent="0.3">
      <c r="A111" t="s">
        <v>6</v>
      </c>
      <c r="B111" s="15">
        <v>43703</v>
      </c>
      <c r="C111" s="15">
        <v>43466</v>
      </c>
      <c r="D111" s="15">
        <v>43678</v>
      </c>
      <c r="E111">
        <v>2</v>
      </c>
      <c r="F111">
        <v>1</v>
      </c>
      <c r="G111">
        <v>1</v>
      </c>
      <c r="H111">
        <v>0</v>
      </c>
      <c r="I111">
        <v>0</v>
      </c>
      <c r="J111">
        <v>1</v>
      </c>
    </row>
    <row r="112" spans="1:10" x14ac:dyDescent="0.3">
      <c r="A112" t="s">
        <v>178</v>
      </c>
      <c r="B112" s="15">
        <v>43703</v>
      </c>
      <c r="C112" s="15">
        <v>43466</v>
      </c>
      <c r="D112" s="15">
        <v>43678</v>
      </c>
      <c r="E112">
        <v>2</v>
      </c>
      <c r="F112">
        <v>1</v>
      </c>
      <c r="G112">
        <v>0</v>
      </c>
      <c r="H112">
        <v>1</v>
      </c>
      <c r="I112">
        <v>0</v>
      </c>
      <c r="J112">
        <v>1</v>
      </c>
    </row>
    <row r="113" spans="1:10" x14ac:dyDescent="0.3">
      <c r="A113" t="s">
        <v>134</v>
      </c>
      <c r="B113" s="15">
        <v>43703</v>
      </c>
      <c r="C113" s="15">
        <v>43466</v>
      </c>
      <c r="D113" s="15">
        <v>43678</v>
      </c>
      <c r="E113">
        <v>4</v>
      </c>
      <c r="F113">
        <v>2</v>
      </c>
      <c r="G113">
        <v>2</v>
      </c>
      <c r="H113">
        <v>0</v>
      </c>
      <c r="I113">
        <v>0</v>
      </c>
      <c r="J113">
        <v>2</v>
      </c>
    </row>
    <row r="114" spans="1:10" x14ac:dyDescent="0.3">
      <c r="A114" t="s">
        <v>164</v>
      </c>
      <c r="B114" s="15">
        <v>43703</v>
      </c>
      <c r="C114" s="15">
        <v>43466</v>
      </c>
      <c r="D114" s="15">
        <v>43678</v>
      </c>
      <c r="E114">
        <v>2</v>
      </c>
      <c r="F114">
        <v>1</v>
      </c>
      <c r="G114">
        <v>1</v>
      </c>
      <c r="H114">
        <v>0</v>
      </c>
      <c r="I114">
        <v>0</v>
      </c>
      <c r="J114">
        <v>1</v>
      </c>
    </row>
    <row r="115" spans="1:10" x14ac:dyDescent="0.3">
      <c r="A115" t="s">
        <v>6</v>
      </c>
      <c r="B115" s="15">
        <v>43704</v>
      </c>
      <c r="C115" s="15">
        <v>43466</v>
      </c>
      <c r="D115" s="15">
        <v>43678</v>
      </c>
      <c r="E115">
        <v>3</v>
      </c>
      <c r="F115">
        <v>1</v>
      </c>
      <c r="G115">
        <v>1</v>
      </c>
      <c r="H115">
        <v>0</v>
      </c>
      <c r="I115">
        <v>0</v>
      </c>
      <c r="J115">
        <v>1</v>
      </c>
    </row>
    <row r="116" spans="1:10" x14ac:dyDescent="0.3">
      <c r="A116" t="s">
        <v>178</v>
      </c>
      <c r="B116" s="15">
        <v>43705</v>
      </c>
      <c r="C116" s="15">
        <v>43466</v>
      </c>
      <c r="D116" s="15">
        <v>43678</v>
      </c>
      <c r="E116">
        <v>1</v>
      </c>
      <c r="F116">
        <v>1</v>
      </c>
      <c r="G116">
        <v>1</v>
      </c>
      <c r="H116">
        <v>0</v>
      </c>
      <c r="I116">
        <v>0</v>
      </c>
      <c r="J116">
        <v>1</v>
      </c>
    </row>
    <row r="117" spans="1:10" x14ac:dyDescent="0.3">
      <c r="A117" t="s">
        <v>178</v>
      </c>
      <c r="B117" s="15">
        <v>43746</v>
      </c>
      <c r="C117" s="15">
        <v>43466</v>
      </c>
      <c r="D117" s="15">
        <v>43739</v>
      </c>
      <c r="E117">
        <v>5</v>
      </c>
      <c r="F117">
        <v>1</v>
      </c>
      <c r="G117">
        <v>0</v>
      </c>
      <c r="H117">
        <v>0</v>
      </c>
      <c r="I117">
        <v>1</v>
      </c>
      <c r="J117">
        <v>1</v>
      </c>
    </row>
    <row r="118" spans="1:10" x14ac:dyDescent="0.3">
      <c r="A118" t="s">
        <v>89</v>
      </c>
      <c r="B118" s="15">
        <v>43746</v>
      </c>
      <c r="C118" s="15">
        <v>43466</v>
      </c>
      <c r="D118" s="15">
        <v>43739</v>
      </c>
      <c r="E118">
        <v>5</v>
      </c>
      <c r="F118">
        <v>1</v>
      </c>
      <c r="G118">
        <v>0</v>
      </c>
      <c r="H118">
        <v>0</v>
      </c>
      <c r="I118">
        <v>1</v>
      </c>
      <c r="J118">
        <v>1</v>
      </c>
    </row>
    <row r="119" spans="1:10" x14ac:dyDescent="0.3">
      <c r="A119" t="s">
        <v>6</v>
      </c>
      <c r="B119" s="15">
        <v>43751</v>
      </c>
      <c r="C119" s="15">
        <v>43466</v>
      </c>
      <c r="D119" s="15">
        <v>43739</v>
      </c>
      <c r="E119">
        <v>15</v>
      </c>
      <c r="F119">
        <v>3</v>
      </c>
      <c r="G119">
        <v>0</v>
      </c>
      <c r="H119">
        <v>0</v>
      </c>
      <c r="I119">
        <v>3</v>
      </c>
      <c r="J119">
        <v>3</v>
      </c>
    </row>
    <row r="120" spans="1:10" x14ac:dyDescent="0.3">
      <c r="A120" t="s">
        <v>313</v>
      </c>
      <c r="B120" s="15">
        <v>43751</v>
      </c>
      <c r="C120" s="15">
        <v>43466</v>
      </c>
      <c r="D120" s="15">
        <v>43739</v>
      </c>
      <c r="E120">
        <v>5</v>
      </c>
      <c r="F120">
        <v>1</v>
      </c>
      <c r="G120">
        <v>0</v>
      </c>
      <c r="H120">
        <v>0</v>
      </c>
      <c r="I120">
        <v>1</v>
      </c>
      <c r="J120">
        <v>1</v>
      </c>
    </row>
    <row r="121" spans="1:10" x14ac:dyDescent="0.3">
      <c r="A121" t="s">
        <v>178</v>
      </c>
      <c r="B121" s="15">
        <v>43751</v>
      </c>
      <c r="C121" s="15">
        <v>43466</v>
      </c>
      <c r="D121" s="15">
        <v>43739</v>
      </c>
      <c r="E121">
        <v>6</v>
      </c>
      <c r="F121">
        <v>2</v>
      </c>
      <c r="G121">
        <v>1</v>
      </c>
      <c r="H121">
        <v>0</v>
      </c>
      <c r="I121">
        <v>1</v>
      </c>
      <c r="J121">
        <v>2</v>
      </c>
    </row>
    <row r="122" spans="1:10" x14ac:dyDescent="0.3">
      <c r="A122" t="s">
        <v>303</v>
      </c>
      <c r="B122" s="15">
        <v>43751</v>
      </c>
      <c r="C122" s="15">
        <v>43466</v>
      </c>
      <c r="D122" s="15">
        <v>43739</v>
      </c>
      <c r="E122">
        <v>5</v>
      </c>
      <c r="F122">
        <v>1</v>
      </c>
      <c r="G122">
        <v>0</v>
      </c>
      <c r="H122">
        <v>0</v>
      </c>
      <c r="I122">
        <v>1</v>
      </c>
      <c r="J122">
        <v>1</v>
      </c>
    </row>
    <row r="123" spans="1:10" x14ac:dyDescent="0.3">
      <c r="A123" t="s">
        <v>6</v>
      </c>
      <c r="B123" s="15">
        <v>43762</v>
      </c>
      <c r="C123" s="15">
        <v>43466</v>
      </c>
      <c r="D123" s="15">
        <v>43739</v>
      </c>
      <c r="E123">
        <v>4</v>
      </c>
      <c r="F123">
        <v>1</v>
      </c>
      <c r="G123">
        <v>1</v>
      </c>
      <c r="H123">
        <v>0</v>
      </c>
      <c r="I123">
        <v>0</v>
      </c>
      <c r="J123">
        <v>1</v>
      </c>
    </row>
    <row r="124" spans="1:10" x14ac:dyDescent="0.3">
      <c r="A124" t="s">
        <v>7</v>
      </c>
      <c r="B124" s="15">
        <v>43762</v>
      </c>
      <c r="C124" s="15">
        <v>43466</v>
      </c>
      <c r="D124" s="15">
        <v>43739</v>
      </c>
      <c r="E124">
        <v>4</v>
      </c>
      <c r="F124">
        <v>1</v>
      </c>
      <c r="G124">
        <v>0</v>
      </c>
      <c r="H124">
        <v>0</v>
      </c>
      <c r="I124">
        <v>1</v>
      </c>
      <c r="J124">
        <v>1</v>
      </c>
    </row>
    <row r="125" spans="1:10" x14ac:dyDescent="0.3">
      <c r="A125" t="s">
        <v>89</v>
      </c>
      <c r="B125" s="15">
        <v>43762</v>
      </c>
      <c r="C125" s="15">
        <v>43466</v>
      </c>
      <c r="D125" s="15">
        <v>43739</v>
      </c>
      <c r="E125">
        <v>4</v>
      </c>
      <c r="F125">
        <v>1</v>
      </c>
      <c r="G125">
        <v>0</v>
      </c>
      <c r="H125">
        <v>0</v>
      </c>
      <c r="I125">
        <v>1</v>
      </c>
      <c r="J125">
        <v>1</v>
      </c>
    </row>
    <row r="126" spans="1:10" x14ac:dyDescent="0.3">
      <c r="A126" t="s">
        <v>6</v>
      </c>
      <c r="B126" s="15">
        <v>43765</v>
      </c>
      <c r="C126" s="15">
        <v>43466</v>
      </c>
      <c r="D126" s="15">
        <v>43739</v>
      </c>
      <c r="E126">
        <v>5</v>
      </c>
      <c r="F126">
        <v>1</v>
      </c>
      <c r="G126">
        <v>1</v>
      </c>
      <c r="H126">
        <v>0</v>
      </c>
      <c r="I126">
        <v>0</v>
      </c>
      <c r="J126">
        <v>1</v>
      </c>
    </row>
    <row r="127" spans="1:10" x14ac:dyDescent="0.3">
      <c r="A127" t="s">
        <v>178</v>
      </c>
      <c r="B127" s="15">
        <v>43765</v>
      </c>
      <c r="C127" s="15">
        <v>43466</v>
      </c>
      <c r="D127" s="15">
        <v>43739</v>
      </c>
      <c r="E127">
        <v>5</v>
      </c>
      <c r="F127">
        <v>1</v>
      </c>
      <c r="G127">
        <v>1</v>
      </c>
      <c r="H127">
        <v>0</v>
      </c>
      <c r="I127">
        <v>0</v>
      </c>
      <c r="J127">
        <v>1</v>
      </c>
    </row>
    <row r="128" spans="1:10" x14ac:dyDescent="0.3">
      <c r="A128" t="s">
        <v>89</v>
      </c>
      <c r="B128" s="15">
        <v>43765</v>
      </c>
      <c r="C128" s="15">
        <v>43466</v>
      </c>
      <c r="D128" s="15">
        <v>43739</v>
      </c>
      <c r="E128">
        <v>5</v>
      </c>
      <c r="F128">
        <v>1</v>
      </c>
      <c r="G128">
        <v>1</v>
      </c>
      <c r="H128">
        <v>0</v>
      </c>
      <c r="I128">
        <v>0</v>
      </c>
      <c r="J128">
        <v>1</v>
      </c>
    </row>
    <row r="129" spans="1:10" x14ac:dyDescent="0.3">
      <c r="A129" t="s">
        <v>89</v>
      </c>
      <c r="B129" s="15">
        <v>43774</v>
      </c>
      <c r="C129" s="15">
        <v>43466</v>
      </c>
      <c r="D129" s="15">
        <v>43770</v>
      </c>
      <c r="E129">
        <v>5</v>
      </c>
      <c r="F129">
        <v>1</v>
      </c>
      <c r="G129">
        <v>1</v>
      </c>
      <c r="H129">
        <v>0</v>
      </c>
      <c r="I129">
        <v>0</v>
      </c>
      <c r="J129">
        <v>1</v>
      </c>
    </row>
    <row r="130" spans="1:10" x14ac:dyDescent="0.3">
      <c r="A130" t="s">
        <v>89</v>
      </c>
      <c r="B130" s="15">
        <v>43775</v>
      </c>
      <c r="C130" s="15">
        <v>43466</v>
      </c>
      <c r="D130" s="15">
        <v>43770</v>
      </c>
      <c r="E130">
        <v>1</v>
      </c>
      <c r="F130">
        <v>1</v>
      </c>
      <c r="G130">
        <v>1</v>
      </c>
      <c r="H130">
        <v>0</v>
      </c>
      <c r="I130">
        <v>0</v>
      </c>
      <c r="J130">
        <v>1</v>
      </c>
    </row>
    <row r="131" spans="1:10" x14ac:dyDescent="0.3">
      <c r="A131" t="s">
        <v>178</v>
      </c>
      <c r="B131" s="15">
        <v>43775</v>
      </c>
      <c r="C131" s="15">
        <v>43466</v>
      </c>
      <c r="D131" s="15">
        <v>43770</v>
      </c>
      <c r="E131">
        <v>1</v>
      </c>
      <c r="F131">
        <v>1</v>
      </c>
      <c r="G131">
        <v>1</v>
      </c>
      <c r="H131">
        <v>0</v>
      </c>
      <c r="I131">
        <v>0</v>
      </c>
      <c r="J131">
        <v>1</v>
      </c>
    </row>
    <row r="132" spans="1:10" x14ac:dyDescent="0.3">
      <c r="A132" t="s">
        <v>89</v>
      </c>
      <c r="B132" s="15">
        <v>43777</v>
      </c>
      <c r="C132" s="15">
        <v>43466</v>
      </c>
      <c r="D132" s="15">
        <v>43770</v>
      </c>
      <c r="E132">
        <v>5</v>
      </c>
      <c r="F132">
        <v>1</v>
      </c>
      <c r="G132">
        <v>0</v>
      </c>
      <c r="H132">
        <v>0</v>
      </c>
      <c r="I132">
        <v>1</v>
      </c>
      <c r="J132">
        <v>1</v>
      </c>
    </row>
    <row r="133" spans="1:10" x14ac:dyDescent="0.3">
      <c r="A133" t="s">
        <v>6</v>
      </c>
      <c r="B133" s="15">
        <v>43783</v>
      </c>
      <c r="C133" s="15">
        <v>43466</v>
      </c>
      <c r="D133" s="15">
        <v>43770</v>
      </c>
      <c r="E133">
        <v>5</v>
      </c>
      <c r="F133">
        <v>1</v>
      </c>
      <c r="G133">
        <v>0</v>
      </c>
      <c r="H133">
        <v>0</v>
      </c>
      <c r="I133">
        <v>1</v>
      </c>
      <c r="J133">
        <v>1</v>
      </c>
    </row>
    <row r="134" spans="1:10" x14ac:dyDescent="0.3">
      <c r="A134" t="s">
        <v>178</v>
      </c>
      <c r="B134" s="15">
        <v>43807</v>
      </c>
      <c r="C134" s="15">
        <v>43466</v>
      </c>
      <c r="D134" s="15">
        <v>43800</v>
      </c>
      <c r="E134">
        <v>1</v>
      </c>
      <c r="F134">
        <v>1</v>
      </c>
      <c r="G134">
        <v>1</v>
      </c>
      <c r="H134">
        <v>0</v>
      </c>
      <c r="I134">
        <v>0</v>
      </c>
      <c r="J134">
        <v>1</v>
      </c>
    </row>
    <row r="135" spans="1:10" x14ac:dyDescent="0.3">
      <c r="A135" t="s">
        <v>178</v>
      </c>
      <c r="B135" s="15">
        <v>43811</v>
      </c>
      <c r="C135" s="15">
        <v>43466</v>
      </c>
      <c r="D135" s="15">
        <v>43800</v>
      </c>
      <c r="E135">
        <v>4</v>
      </c>
      <c r="F135">
        <v>1</v>
      </c>
      <c r="G135">
        <v>1</v>
      </c>
      <c r="H135">
        <v>0</v>
      </c>
      <c r="I135">
        <v>0</v>
      </c>
      <c r="J135">
        <v>1</v>
      </c>
    </row>
    <row r="136" spans="1:10" x14ac:dyDescent="0.3">
      <c r="A136" t="s">
        <v>313</v>
      </c>
      <c r="B136" s="15">
        <v>43813</v>
      </c>
      <c r="C136" s="15">
        <v>43466</v>
      </c>
      <c r="D136" s="15">
        <v>43800</v>
      </c>
      <c r="E136">
        <v>1</v>
      </c>
      <c r="F136">
        <v>1</v>
      </c>
      <c r="G136">
        <v>0</v>
      </c>
      <c r="H136">
        <v>1</v>
      </c>
      <c r="I136">
        <v>0</v>
      </c>
      <c r="J136">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G171"/>
  <sheetViews>
    <sheetView zoomScale="90" workbookViewId="0">
      <selection activeCell="B3" sqref="B3:B212"/>
    </sheetView>
  </sheetViews>
  <sheetFormatPr defaultRowHeight="14.4" x14ac:dyDescent="0.3"/>
  <cols>
    <col min="1" max="1" width="21.33203125" customWidth="1"/>
    <col min="2" max="2" width="15.44140625" style="7" customWidth="1"/>
    <col min="3" max="3" width="15.21875" customWidth="1"/>
    <col min="4" max="4" width="10.109375" customWidth="1"/>
    <col min="6" max="6" width="9.44140625" customWidth="1"/>
  </cols>
  <sheetData>
    <row r="1" spans="1:7" x14ac:dyDescent="0.3">
      <c r="B1"/>
    </row>
    <row r="2" spans="1:7" x14ac:dyDescent="0.3">
      <c r="A2" t="s">
        <v>5</v>
      </c>
      <c r="B2" s="7" t="s">
        <v>2</v>
      </c>
      <c r="C2" t="s">
        <v>20</v>
      </c>
      <c r="D2" t="s">
        <v>21</v>
      </c>
      <c r="E2" t="s">
        <v>22</v>
      </c>
      <c r="F2" t="s">
        <v>23</v>
      </c>
      <c r="G2" t="s">
        <v>24</v>
      </c>
    </row>
    <row r="3" spans="1:7" x14ac:dyDescent="0.3">
      <c r="A3" t="s">
        <v>6</v>
      </c>
      <c r="B3" s="7">
        <v>41382</v>
      </c>
      <c r="C3" t="s">
        <v>320</v>
      </c>
      <c r="D3">
        <v>0</v>
      </c>
      <c r="E3">
        <v>0</v>
      </c>
      <c r="F3">
        <v>1</v>
      </c>
      <c r="G3">
        <v>1</v>
      </c>
    </row>
    <row r="4" spans="1:7" x14ac:dyDescent="0.3">
      <c r="A4" t="s">
        <v>6</v>
      </c>
      <c r="B4" s="7">
        <v>41382</v>
      </c>
      <c r="C4" t="s">
        <v>321</v>
      </c>
      <c r="D4">
        <v>0</v>
      </c>
      <c r="E4">
        <v>0</v>
      </c>
      <c r="F4">
        <v>1</v>
      </c>
      <c r="G4">
        <v>1</v>
      </c>
    </row>
    <row r="5" spans="1:7" x14ac:dyDescent="0.3">
      <c r="A5" t="s">
        <v>313</v>
      </c>
      <c r="B5" s="7">
        <v>41616</v>
      </c>
      <c r="C5" t="s">
        <v>322</v>
      </c>
      <c r="D5">
        <v>0</v>
      </c>
      <c r="E5">
        <v>2</v>
      </c>
      <c r="F5">
        <v>0</v>
      </c>
      <c r="G5">
        <v>2</v>
      </c>
    </row>
    <row r="6" spans="1:7" x14ac:dyDescent="0.3">
      <c r="A6" t="s">
        <v>313</v>
      </c>
      <c r="B6" s="7">
        <v>41616</v>
      </c>
      <c r="C6" t="s">
        <v>323</v>
      </c>
      <c r="D6">
        <v>0</v>
      </c>
      <c r="E6">
        <v>0</v>
      </c>
      <c r="F6">
        <v>1</v>
      </c>
      <c r="G6">
        <v>1</v>
      </c>
    </row>
    <row r="7" spans="1:7" x14ac:dyDescent="0.3">
      <c r="A7" t="s">
        <v>313</v>
      </c>
      <c r="B7" s="7">
        <v>41616</v>
      </c>
      <c r="C7" t="s">
        <v>324</v>
      </c>
      <c r="D7">
        <v>0</v>
      </c>
      <c r="E7">
        <v>0</v>
      </c>
      <c r="F7">
        <v>1</v>
      </c>
      <c r="G7">
        <v>1</v>
      </c>
    </row>
    <row r="8" spans="1:7" x14ac:dyDescent="0.3">
      <c r="A8" t="s">
        <v>303</v>
      </c>
      <c r="B8" s="7">
        <v>41616</v>
      </c>
      <c r="C8" t="s">
        <v>325</v>
      </c>
      <c r="D8">
        <v>0</v>
      </c>
      <c r="E8">
        <v>0</v>
      </c>
      <c r="F8">
        <v>1</v>
      </c>
      <c r="G8">
        <v>1</v>
      </c>
    </row>
    <row r="9" spans="1:7" x14ac:dyDescent="0.3">
      <c r="A9" t="s">
        <v>178</v>
      </c>
      <c r="B9" s="7">
        <v>41627</v>
      </c>
      <c r="C9" t="s">
        <v>326</v>
      </c>
      <c r="D9">
        <v>1</v>
      </c>
      <c r="E9">
        <v>0</v>
      </c>
      <c r="F9">
        <v>0</v>
      </c>
      <c r="G9">
        <v>1</v>
      </c>
    </row>
    <row r="10" spans="1:7" x14ac:dyDescent="0.3">
      <c r="A10" t="s">
        <v>89</v>
      </c>
      <c r="B10" s="7">
        <v>41847</v>
      </c>
      <c r="C10" t="s">
        <v>327</v>
      </c>
      <c r="D10">
        <v>0</v>
      </c>
      <c r="E10">
        <v>0</v>
      </c>
      <c r="F10">
        <v>1</v>
      </c>
      <c r="G10">
        <v>1</v>
      </c>
    </row>
    <row r="11" spans="1:7" x14ac:dyDescent="0.3">
      <c r="A11" t="s">
        <v>6</v>
      </c>
      <c r="B11" s="7">
        <v>41903</v>
      </c>
      <c r="C11" t="s">
        <v>328</v>
      </c>
      <c r="D11">
        <v>1</v>
      </c>
      <c r="E11">
        <v>0</v>
      </c>
      <c r="F11">
        <v>0</v>
      </c>
      <c r="G11">
        <v>1</v>
      </c>
    </row>
    <row r="12" spans="1:7" x14ac:dyDescent="0.3">
      <c r="A12" t="s">
        <v>6</v>
      </c>
      <c r="B12" s="7">
        <v>41903</v>
      </c>
      <c r="C12" t="s">
        <v>329</v>
      </c>
      <c r="D12">
        <v>1</v>
      </c>
      <c r="E12">
        <v>0</v>
      </c>
      <c r="F12">
        <v>0</v>
      </c>
      <c r="G12">
        <v>1</v>
      </c>
    </row>
    <row r="13" spans="1:7" x14ac:dyDescent="0.3">
      <c r="A13" t="s">
        <v>178</v>
      </c>
      <c r="B13" s="7">
        <v>41903</v>
      </c>
      <c r="C13" t="s">
        <v>330</v>
      </c>
      <c r="D13">
        <v>1</v>
      </c>
      <c r="E13">
        <v>0</v>
      </c>
      <c r="F13">
        <v>0</v>
      </c>
      <c r="G13">
        <v>1</v>
      </c>
    </row>
    <row r="14" spans="1:7" x14ac:dyDescent="0.3">
      <c r="A14" t="s">
        <v>313</v>
      </c>
      <c r="B14" s="7">
        <v>41915</v>
      </c>
      <c r="C14" t="s">
        <v>322</v>
      </c>
      <c r="D14">
        <v>0</v>
      </c>
      <c r="E14">
        <v>0</v>
      </c>
      <c r="F14">
        <v>1</v>
      </c>
      <c r="G14">
        <v>1</v>
      </c>
    </row>
    <row r="15" spans="1:7" x14ac:dyDescent="0.3">
      <c r="A15" t="s">
        <v>313</v>
      </c>
      <c r="B15" s="7">
        <v>41915</v>
      </c>
      <c r="C15" t="s">
        <v>323</v>
      </c>
      <c r="D15">
        <v>0</v>
      </c>
      <c r="E15">
        <v>0</v>
      </c>
      <c r="F15">
        <v>1</v>
      </c>
      <c r="G15">
        <v>1</v>
      </c>
    </row>
    <row r="16" spans="1:7" x14ac:dyDescent="0.3">
      <c r="A16" t="s">
        <v>303</v>
      </c>
      <c r="B16" s="7">
        <v>41915</v>
      </c>
      <c r="C16" t="s">
        <v>331</v>
      </c>
      <c r="D16">
        <v>0</v>
      </c>
      <c r="E16">
        <v>0</v>
      </c>
      <c r="F16">
        <v>1</v>
      </c>
      <c r="G16">
        <v>1</v>
      </c>
    </row>
    <row r="17" spans="1:7" x14ac:dyDescent="0.3">
      <c r="A17" t="s">
        <v>134</v>
      </c>
      <c r="B17" s="7">
        <v>41915</v>
      </c>
      <c r="C17" t="s">
        <v>332</v>
      </c>
      <c r="D17">
        <v>0</v>
      </c>
      <c r="E17">
        <v>0</v>
      </c>
      <c r="F17">
        <v>1</v>
      </c>
      <c r="G17">
        <v>1</v>
      </c>
    </row>
    <row r="18" spans="1:7" x14ac:dyDescent="0.3">
      <c r="A18" t="s">
        <v>7</v>
      </c>
      <c r="B18" s="7">
        <v>42173</v>
      </c>
      <c r="C18" t="s">
        <v>27</v>
      </c>
      <c r="D18">
        <v>0</v>
      </c>
      <c r="E18">
        <v>0</v>
      </c>
      <c r="F18">
        <v>1</v>
      </c>
      <c r="G18">
        <v>1</v>
      </c>
    </row>
    <row r="19" spans="1:7" x14ac:dyDescent="0.3">
      <c r="A19" t="s">
        <v>6</v>
      </c>
      <c r="B19" s="7">
        <v>42173</v>
      </c>
      <c r="C19" t="s">
        <v>333</v>
      </c>
      <c r="D19">
        <v>0</v>
      </c>
      <c r="E19">
        <v>0</v>
      </c>
      <c r="F19">
        <v>1</v>
      </c>
      <c r="G19">
        <v>1</v>
      </c>
    </row>
    <row r="20" spans="1:7" x14ac:dyDescent="0.3">
      <c r="A20" t="s">
        <v>6</v>
      </c>
      <c r="B20" s="7">
        <v>42310</v>
      </c>
      <c r="C20" t="s">
        <v>333</v>
      </c>
      <c r="D20">
        <v>0</v>
      </c>
      <c r="E20">
        <v>0</v>
      </c>
      <c r="F20">
        <v>1</v>
      </c>
      <c r="G20">
        <v>1</v>
      </c>
    </row>
    <row r="21" spans="1:7" x14ac:dyDescent="0.3">
      <c r="A21" t="s">
        <v>6</v>
      </c>
      <c r="B21" s="7">
        <v>42430</v>
      </c>
      <c r="C21" t="s">
        <v>334</v>
      </c>
      <c r="D21">
        <v>1</v>
      </c>
      <c r="E21">
        <v>0</v>
      </c>
      <c r="F21">
        <v>0</v>
      </c>
      <c r="G21">
        <v>1</v>
      </c>
    </row>
    <row r="22" spans="1:7" x14ac:dyDescent="0.3">
      <c r="A22" t="s">
        <v>6</v>
      </c>
      <c r="B22" s="7">
        <v>42582</v>
      </c>
      <c r="C22" t="s">
        <v>320</v>
      </c>
      <c r="D22">
        <v>0</v>
      </c>
      <c r="E22">
        <v>0</v>
      </c>
      <c r="F22">
        <v>1</v>
      </c>
      <c r="G22">
        <v>1</v>
      </c>
    </row>
    <row r="23" spans="1:7" x14ac:dyDescent="0.3">
      <c r="A23" t="s">
        <v>313</v>
      </c>
      <c r="B23" s="7">
        <v>42603</v>
      </c>
      <c r="C23" t="s">
        <v>335</v>
      </c>
      <c r="D23">
        <v>0</v>
      </c>
      <c r="E23">
        <v>0</v>
      </c>
      <c r="F23">
        <v>1</v>
      </c>
      <c r="G23">
        <v>1</v>
      </c>
    </row>
    <row r="24" spans="1:7" x14ac:dyDescent="0.3">
      <c r="A24" t="s">
        <v>89</v>
      </c>
      <c r="B24" s="7">
        <v>42603</v>
      </c>
      <c r="C24" t="s">
        <v>336</v>
      </c>
      <c r="D24">
        <v>0</v>
      </c>
      <c r="E24">
        <v>0</v>
      </c>
      <c r="F24">
        <v>1</v>
      </c>
      <c r="G24">
        <v>1</v>
      </c>
    </row>
    <row r="25" spans="1:7" x14ac:dyDescent="0.3">
      <c r="A25" t="s">
        <v>171</v>
      </c>
      <c r="B25" s="7">
        <v>42603</v>
      </c>
      <c r="C25" t="s">
        <v>337</v>
      </c>
      <c r="D25">
        <v>0</v>
      </c>
      <c r="E25">
        <v>0</v>
      </c>
      <c r="F25">
        <v>1</v>
      </c>
      <c r="G25">
        <v>1</v>
      </c>
    </row>
    <row r="26" spans="1:7" x14ac:dyDescent="0.3">
      <c r="A26" t="s">
        <v>6</v>
      </c>
      <c r="B26" s="7">
        <v>42603</v>
      </c>
      <c r="C26" t="s">
        <v>338</v>
      </c>
      <c r="D26">
        <v>0</v>
      </c>
      <c r="E26">
        <v>1</v>
      </c>
      <c r="F26">
        <v>0</v>
      </c>
      <c r="G26">
        <v>1</v>
      </c>
    </row>
    <row r="27" spans="1:7" x14ac:dyDescent="0.3">
      <c r="A27" t="s">
        <v>6</v>
      </c>
      <c r="B27" s="7">
        <v>42603</v>
      </c>
      <c r="C27" t="s">
        <v>339</v>
      </c>
      <c r="D27">
        <v>0</v>
      </c>
      <c r="E27">
        <v>0</v>
      </c>
      <c r="F27">
        <v>1</v>
      </c>
      <c r="G27">
        <v>1</v>
      </c>
    </row>
    <row r="28" spans="1:7" x14ac:dyDescent="0.3">
      <c r="A28" t="s">
        <v>6</v>
      </c>
      <c r="B28" s="7">
        <v>42603</v>
      </c>
      <c r="C28" t="s">
        <v>340</v>
      </c>
      <c r="D28">
        <v>0</v>
      </c>
      <c r="E28">
        <v>0</v>
      </c>
      <c r="F28">
        <v>1</v>
      </c>
      <c r="G28">
        <v>1</v>
      </c>
    </row>
    <row r="29" spans="1:7" x14ac:dyDescent="0.3">
      <c r="A29" t="s">
        <v>178</v>
      </c>
      <c r="B29" s="7">
        <v>42603</v>
      </c>
      <c r="C29" t="s">
        <v>341</v>
      </c>
      <c r="D29">
        <v>0</v>
      </c>
      <c r="E29">
        <v>0</v>
      </c>
      <c r="F29">
        <v>1</v>
      </c>
      <c r="G29">
        <v>1</v>
      </c>
    </row>
    <row r="30" spans="1:7" x14ac:dyDescent="0.3">
      <c r="A30" t="s">
        <v>178</v>
      </c>
      <c r="B30" s="7">
        <v>42649</v>
      </c>
      <c r="C30" t="s">
        <v>342</v>
      </c>
      <c r="D30">
        <v>1</v>
      </c>
      <c r="E30">
        <v>0</v>
      </c>
      <c r="F30">
        <v>0</v>
      </c>
      <c r="G30">
        <v>1</v>
      </c>
    </row>
    <row r="31" spans="1:7" x14ac:dyDescent="0.3">
      <c r="A31" t="s">
        <v>6</v>
      </c>
      <c r="B31" s="7">
        <v>42649</v>
      </c>
      <c r="C31" t="s">
        <v>343</v>
      </c>
      <c r="D31">
        <v>1</v>
      </c>
      <c r="E31">
        <v>0</v>
      </c>
      <c r="F31">
        <v>0</v>
      </c>
      <c r="G31">
        <v>1</v>
      </c>
    </row>
    <row r="32" spans="1:7" x14ac:dyDescent="0.3">
      <c r="A32" t="s">
        <v>6</v>
      </c>
      <c r="B32" s="7">
        <v>42663</v>
      </c>
      <c r="C32" t="s">
        <v>344</v>
      </c>
      <c r="D32">
        <v>1</v>
      </c>
      <c r="E32">
        <v>0</v>
      </c>
      <c r="F32">
        <v>0</v>
      </c>
      <c r="G32">
        <v>1</v>
      </c>
    </row>
    <row r="33" spans="1:7" x14ac:dyDescent="0.3">
      <c r="A33" t="s">
        <v>178</v>
      </c>
      <c r="B33" s="7">
        <v>42681</v>
      </c>
      <c r="C33" t="s">
        <v>345</v>
      </c>
      <c r="D33">
        <v>0</v>
      </c>
      <c r="E33">
        <v>0</v>
      </c>
      <c r="F33">
        <v>1</v>
      </c>
      <c r="G33">
        <v>1</v>
      </c>
    </row>
    <row r="34" spans="1:7" x14ac:dyDescent="0.3">
      <c r="A34" t="s">
        <v>89</v>
      </c>
      <c r="B34" s="7">
        <v>42697</v>
      </c>
      <c r="C34" t="s">
        <v>346</v>
      </c>
      <c r="D34">
        <v>1</v>
      </c>
      <c r="E34">
        <v>0</v>
      </c>
      <c r="F34">
        <v>0</v>
      </c>
      <c r="G34">
        <v>1</v>
      </c>
    </row>
    <row r="35" spans="1:7" x14ac:dyDescent="0.3">
      <c r="A35" t="s">
        <v>6</v>
      </c>
      <c r="B35" s="7">
        <v>42703</v>
      </c>
      <c r="C35" t="s">
        <v>347</v>
      </c>
      <c r="D35">
        <v>0</v>
      </c>
      <c r="E35">
        <v>0</v>
      </c>
      <c r="F35">
        <v>1</v>
      </c>
      <c r="G35">
        <v>1</v>
      </c>
    </row>
    <row r="36" spans="1:7" x14ac:dyDescent="0.3">
      <c r="A36" t="s">
        <v>313</v>
      </c>
      <c r="B36" s="7">
        <v>42741</v>
      </c>
      <c r="C36" t="s">
        <v>322</v>
      </c>
      <c r="D36">
        <v>0</v>
      </c>
      <c r="E36">
        <v>1</v>
      </c>
      <c r="F36">
        <v>0</v>
      </c>
      <c r="G36">
        <v>1</v>
      </c>
    </row>
    <row r="37" spans="1:7" x14ac:dyDescent="0.3">
      <c r="A37" t="s">
        <v>6</v>
      </c>
      <c r="B37" s="7">
        <v>42751</v>
      </c>
      <c r="C37" t="s">
        <v>348</v>
      </c>
      <c r="D37">
        <v>0</v>
      </c>
      <c r="E37">
        <v>0</v>
      </c>
      <c r="F37">
        <v>1</v>
      </c>
      <c r="G37">
        <v>1</v>
      </c>
    </row>
    <row r="38" spans="1:7" x14ac:dyDescent="0.3">
      <c r="A38" t="s">
        <v>178</v>
      </c>
      <c r="B38" s="7">
        <v>42751</v>
      </c>
      <c r="C38" t="s">
        <v>349</v>
      </c>
      <c r="D38">
        <v>1</v>
      </c>
      <c r="E38">
        <v>0</v>
      </c>
      <c r="F38">
        <v>0</v>
      </c>
      <c r="G38">
        <v>1</v>
      </c>
    </row>
    <row r="39" spans="1:7" x14ac:dyDescent="0.3">
      <c r="A39" t="s">
        <v>6</v>
      </c>
      <c r="B39" s="7">
        <v>42779</v>
      </c>
      <c r="C39" t="s">
        <v>333</v>
      </c>
      <c r="D39">
        <v>0</v>
      </c>
      <c r="E39">
        <v>0</v>
      </c>
      <c r="F39">
        <v>1</v>
      </c>
      <c r="G39">
        <v>1</v>
      </c>
    </row>
    <row r="40" spans="1:7" x14ac:dyDescent="0.3">
      <c r="A40" t="s">
        <v>6</v>
      </c>
      <c r="B40" s="7">
        <v>42819</v>
      </c>
      <c r="C40" t="s">
        <v>333</v>
      </c>
      <c r="D40">
        <v>0</v>
      </c>
      <c r="E40">
        <v>0</v>
      </c>
      <c r="F40">
        <v>1</v>
      </c>
      <c r="G40">
        <v>1</v>
      </c>
    </row>
    <row r="41" spans="1:7" x14ac:dyDescent="0.3">
      <c r="A41" t="s">
        <v>6</v>
      </c>
      <c r="B41" s="7">
        <v>42859</v>
      </c>
      <c r="C41" t="s">
        <v>320</v>
      </c>
      <c r="D41">
        <v>0</v>
      </c>
      <c r="E41">
        <v>0</v>
      </c>
      <c r="F41">
        <v>1</v>
      </c>
      <c r="G41">
        <v>1</v>
      </c>
    </row>
    <row r="42" spans="1:7" x14ac:dyDescent="0.3">
      <c r="A42" t="s">
        <v>164</v>
      </c>
      <c r="B42" s="7">
        <v>42859</v>
      </c>
      <c r="C42" t="s">
        <v>30</v>
      </c>
      <c r="D42">
        <v>0</v>
      </c>
      <c r="E42">
        <v>0</v>
      </c>
      <c r="F42">
        <v>1</v>
      </c>
      <c r="G42">
        <v>1</v>
      </c>
    </row>
    <row r="43" spans="1:7" x14ac:dyDescent="0.3">
      <c r="A43" t="s">
        <v>7</v>
      </c>
      <c r="B43" s="7">
        <v>42936</v>
      </c>
      <c r="C43" t="s">
        <v>28</v>
      </c>
      <c r="D43">
        <v>0</v>
      </c>
      <c r="E43">
        <v>0</v>
      </c>
      <c r="F43">
        <v>1</v>
      </c>
      <c r="G43">
        <v>1</v>
      </c>
    </row>
    <row r="44" spans="1:7" x14ac:dyDescent="0.3">
      <c r="A44" t="s">
        <v>89</v>
      </c>
      <c r="B44" s="7">
        <v>42936</v>
      </c>
      <c r="C44" t="s">
        <v>346</v>
      </c>
      <c r="D44">
        <v>0</v>
      </c>
      <c r="E44">
        <v>0</v>
      </c>
      <c r="F44">
        <v>1</v>
      </c>
      <c r="G44">
        <v>1</v>
      </c>
    </row>
    <row r="45" spans="1:7" x14ac:dyDescent="0.3">
      <c r="A45" t="s">
        <v>178</v>
      </c>
      <c r="B45" s="7">
        <v>42936</v>
      </c>
      <c r="C45" t="s">
        <v>345</v>
      </c>
      <c r="D45">
        <v>0</v>
      </c>
      <c r="E45">
        <v>0</v>
      </c>
      <c r="F45">
        <v>1</v>
      </c>
      <c r="G45">
        <v>1</v>
      </c>
    </row>
    <row r="46" spans="1:7" x14ac:dyDescent="0.3">
      <c r="A46" t="s">
        <v>134</v>
      </c>
      <c r="B46" s="7">
        <v>42936</v>
      </c>
      <c r="C46" t="s">
        <v>350</v>
      </c>
      <c r="D46">
        <v>0</v>
      </c>
      <c r="E46">
        <v>0</v>
      </c>
      <c r="F46">
        <v>1</v>
      </c>
      <c r="G46">
        <v>1</v>
      </c>
    </row>
    <row r="47" spans="1:7" x14ac:dyDescent="0.3">
      <c r="A47" t="s">
        <v>134</v>
      </c>
      <c r="B47" s="7">
        <v>42936</v>
      </c>
      <c r="C47" t="s">
        <v>332</v>
      </c>
      <c r="D47">
        <v>0</v>
      </c>
      <c r="E47">
        <v>0</v>
      </c>
      <c r="F47">
        <v>1</v>
      </c>
      <c r="G47">
        <v>1</v>
      </c>
    </row>
    <row r="48" spans="1:7" x14ac:dyDescent="0.3">
      <c r="A48" t="s">
        <v>171</v>
      </c>
      <c r="B48" s="7">
        <v>42936</v>
      </c>
      <c r="C48" t="s">
        <v>351</v>
      </c>
      <c r="D48">
        <v>0</v>
      </c>
      <c r="E48">
        <v>0</v>
      </c>
      <c r="F48">
        <v>1</v>
      </c>
      <c r="G48">
        <v>1</v>
      </c>
    </row>
    <row r="49" spans="1:7" x14ac:dyDescent="0.3">
      <c r="A49" t="s">
        <v>6</v>
      </c>
      <c r="B49" s="7">
        <v>42943</v>
      </c>
      <c r="C49" t="s">
        <v>320</v>
      </c>
      <c r="D49">
        <v>0</v>
      </c>
      <c r="E49">
        <v>0</v>
      </c>
      <c r="F49">
        <v>1</v>
      </c>
      <c r="G49">
        <v>1</v>
      </c>
    </row>
    <row r="50" spans="1:7" x14ac:dyDescent="0.3">
      <c r="A50" t="s">
        <v>6</v>
      </c>
      <c r="B50" s="7">
        <v>42945</v>
      </c>
      <c r="C50" t="s">
        <v>333</v>
      </c>
      <c r="D50">
        <v>0</v>
      </c>
      <c r="E50">
        <v>0</v>
      </c>
      <c r="F50">
        <v>1</v>
      </c>
      <c r="G50">
        <v>1</v>
      </c>
    </row>
    <row r="51" spans="1:7" x14ac:dyDescent="0.3">
      <c r="A51" t="s">
        <v>6</v>
      </c>
      <c r="B51" s="7">
        <v>42945</v>
      </c>
      <c r="C51" t="s">
        <v>352</v>
      </c>
      <c r="D51">
        <v>0</v>
      </c>
      <c r="E51">
        <v>0</v>
      </c>
      <c r="F51">
        <v>1</v>
      </c>
      <c r="G51">
        <v>1</v>
      </c>
    </row>
    <row r="52" spans="1:7" x14ac:dyDescent="0.3">
      <c r="A52" t="s">
        <v>6</v>
      </c>
      <c r="B52" s="7">
        <v>42998</v>
      </c>
      <c r="C52" t="s">
        <v>353</v>
      </c>
      <c r="D52">
        <v>0</v>
      </c>
      <c r="E52">
        <v>0</v>
      </c>
      <c r="F52">
        <v>1</v>
      </c>
      <c r="G52">
        <v>1</v>
      </c>
    </row>
    <row r="53" spans="1:7" x14ac:dyDescent="0.3">
      <c r="A53" t="s">
        <v>7</v>
      </c>
      <c r="B53" s="7">
        <v>42998</v>
      </c>
      <c r="C53" t="s">
        <v>354</v>
      </c>
      <c r="D53">
        <v>0</v>
      </c>
      <c r="E53">
        <v>0</v>
      </c>
      <c r="F53">
        <v>1</v>
      </c>
      <c r="G53">
        <v>1</v>
      </c>
    </row>
    <row r="54" spans="1:7" x14ac:dyDescent="0.3">
      <c r="A54" t="s">
        <v>313</v>
      </c>
      <c r="B54" s="7">
        <v>42998</v>
      </c>
      <c r="C54" t="s">
        <v>323</v>
      </c>
      <c r="D54">
        <v>0</v>
      </c>
      <c r="E54">
        <v>0</v>
      </c>
      <c r="F54">
        <v>1</v>
      </c>
      <c r="G54">
        <v>1</v>
      </c>
    </row>
    <row r="55" spans="1:7" x14ac:dyDescent="0.3">
      <c r="A55" t="s">
        <v>6</v>
      </c>
      <c r="B55" s="7">
        <v>42998</v>
      </c>
      <c r="C55" t="s">
        <v>320</v>
      </c>
      <c r="D55">
        <v>0</v>
      </c>
      <c r="E55">
        <v>0</v>
      </c>
      <c r="F55">
        <v>1</v>
      </c>
      <c r="G55">
        <v>1</v>
      </c>
    </row>
    <row r="56" spans="1:7" x14ac:dyDescent="0.3">
      <c r="A56" t="s">
        <v>178</v>
      </c>
      <c r="B56" s="7">
        <v>43004</v>
      </c>
      <c r="C56" t="s">
        <v>355</v>
      </c>
      <c r="D56">
        <v>0</v>
      </c>
      <c r="E56">
        <v>0</v>
      </c>
      <c r="F56">
        <v>1</v>
      </c>
      <c r="G56">
        <v>1</v>
      </c>
    </row>
    <row r="57" spans="1:7" x14ac:dyDescent="0.3">
      <c r="A57" t="s">
        <v>178</v>
      </c>
      <c r="B57" s="7">
        <v>43004</v>
      </c>
      <c r="C57" t="s">
        <v>356</v>
      </c>
      <c r="D57">
        <v>0</v>
      </c>
      <c r="E57">
        <v>0</v>
      </c>
      <c r="F57">
        <v>1</v>
      </c>
      <c r="G57">
        <v>1</v>
      </c>
    </row>
    <row r="58" spans="1:7" x14ac:dyDescent="0.3">
      <c r="A58" t="s">
        <v>303</v>
      </c>
      <c r="B58" s="7">
        <v>43004</v>
      </c>
      <c r="C58" t="s">
        <v>357</v>
      </c>
      <c r="D58">
        <v>0</v>
      </c>
      <c r="E58">
        <v>0</v>
      </c>
      <c r="F58">
        <v>1</v>
      </c>
      <c r="G58">
        <v>1</v>
      </c>
    </row>
    <row r="59" spans="1:7" x14ac:dyDescent="0.3">
      <c r="A59" t="s">
        <v>303</v>
      </c>
      <c r="B59" s="7">
        <v>43004</v>
      </c>
      <c r="C59" t="s">
        <v>358</v>
      </c>
      <c r="D59">
        <v>0</v>
      </c>
      <c r="E59">
        <v>0</v>
      </c>
      <c r="F59">
        <v>1</v>
      </c>
      <c r="G59">
        <v>1</v>
      </c>
    </row>
    <row r="60" spans="1:7" x14ac:dyDescent="0.3">
      <c r="A60" t="s">
        <v>6</v>
      </c>
      <c r="B60" s="7">
        <v>43004</v>
      </c>
      <c r="C60" t="s">
        <v>359</v>
      </c>
      <c r="D60">
        <v>0</v>
      </c>
      <c r="E60">
        <v>0</v>
      </c>
      <c r="F60">
        <v>1</v>
      </c>
      <c r="G60">
        <v>1</v>
      </c>
    </row>
    <row r="61" spans="1:7" x14ac:dyDescent="0.3">
      <c r="A61" t="s">
        <v>6</v>
      </c>
      <c r="B61" s="7">
        <v>43004</v>
      </c>
      <c r="C61" t="s">
        <v>360</v>
      </c>
      <c r="D61">
        <v>0</v>
      </c>
      <c r="E61">
        <v>0</v>
      </c>
      <c r="F61">
        <v>1</v>
      </c>
      <c r="G61">
        <v>1</v>
      </c>
    </row>
    <row r="62" spans="1:7" x14ac:dyDescent="0.3">
      <c r="A62" t="s">
        <v>6</v>
      </c>
      <c r="B62" s="7">
        <v>43004</v>
      </c>
      <c r="C62" t="s">
        <v>361</v>
      </c>
      <c r="D62">
        <v>0</v>
      </c>
      <c r="E62">
        <v>0</v>
      </c>
      <c r="F62">
        <v>1</v>
      </c>
      <c r="G62">
        <v>1</v>
      </c>
    </row>
    <row r="63" spans="1:7" x14ac:dyDescent="0.3">
      <c r="A63" t="s">
        <v>6</v>
      </c>
      <c r="B63" s="7">
        <v>43042</v>
      </c>
      <c r="C63" t="s">
        <v>362</v>
      </c>
      <c r="D63">
        <v>1</v>
      </c>
      <c r="E63">
        <v>0</v>
      </c>
      <c r="F63">
        <v>0</v>
      </c>
      <c r="G63">
        <v>1</v>
      </c>
    </row>
    <row r="64" spans="1:7" x14ac:dyDescent="0.3">
      <c r="A64" t="s">
        <v>134</v>
      </c>
      <c r="B64" s="7">
        <v>43072</v>
      </c>
      <c r="C64" t="s">
        <v>363</v>
      </c>
      <c r="D64">
        <v>1</v>
      </c>
      <c r="E64">
        <v>0</v>
      </c>
      <c r="F64">
        <v>0</v>
      </c>
      <c r="G64">
        <v>1</v>
      </c>
    </row>
    <row r="65" spans="1:7" x14ac:dyDescent="0.3">
      <c r="A65" t="s">
        <v>134</v>
      </c>
      <c r="B65" s="7">
        <v>43072</v>
      </c>
      <c r="C65" t="s">
        <v>332</v>
      </c>
      <c r="D65">
        <v>1</v>
      </c>
      <c r="E65">
        <v>0</v>
      </c>
      <c r="F65">
        <v>0</v>
      </c>
      <c r="G65">
        <v>1</v>
      </c>
    </row>
    <row r="66" spans="1:7" x14ac:dyDescent="0.3">
      <c r="A66" t="s">
        <v>164</v>
      </c>
      <c r="B66" s="7">
        <v>43129</v>
      </c>
      <c r="C66" t="s">
        <v>364</v>
      </c>
      <c r="D66">
        <v>1</v>
      </c>
      <c r="E66">
        <v>0</v>
      </c>
      <c r="F66">
        <v>0</v>
      </c>
      <c r="G66">
        <v>1</v>
      </c>
    </row>
    <row r="67" spans="1:7" x14ac:dyDescent="0.3">
      <c r="A67" t="s">
        <v>178</v>
      </c>
      <c r="B67" s="7">
        <v>43129</v>
      </c>
      <c r="C67" t="s">
        <v>365</v>
      </c>
      <c r="D67">
        <v>1</v>
      </c>
      <c r="E67">
        <v>0</v>
      </c>
      <c r="F67">
        <v>0</v>
      </c>
      <c r="G67">
        <v>1</v>
      </c>
    </row>
    <row r="68" spans="1:7" x14ac:dyDescent="0.3">
      <c r="A68" t="s">
        <v>178</v>
      </c>
      <c r="B68" s="7">
        <v>43143</v>
      </c>
      <c r="C68" t="s">
        <v>366</v>
      </c>
      <c r="D68">
        <v>0</v>
      </c>
      <c r="E68">
        <v>0</v>
      </c>
      <c r="F68">
        <v>1</v>
      </c>
      <c r="G68">
        <v>1</v>
      </c>
    </row>
    <row r="69" spans="1:7" x14ac:dyDescent="0.3">
      <c r="A69" t="s">
        <v>6</v>
      </c>
      <c r="B69" s="7">
        <v>43143</v>
      </c>
      <c r="C69" t="s">
        <v>339</v>
      </c>
      <c r="D69">
        <v>1</v>
      </c>
      <c r="E69">
        <v>0</v>
      </c>
      <c r="F69">
        <v>0</v>
      </c>
      <c r="G69">
        <v>1</v>
      </c>
    </row>
    <row r="70" spans="1:7" x14ac:dyDescent="0.3">
      <c r="A70" t="s">
        <v>178</v>
      </c>
      <c r="B70" s="7">
        <v>43143</v>
      </c>
      <c r="C70" t="s">
        <v>367</v>
      </c>
      <c r="D70">
        <v>1</v>
      </c>
      <c r="E70">
        <v>0</v>
      </c>
      <c r="F70">
        <v>0</v>
      </c>
      <c r="G70">
        <v>1</v>
      </c>
    </row>
    <row r="71" spans="1:7" x14ac:dyDescent="0.3">
      <c r="A71" t="s">
        <v>178</v>
      </c>
      <c r="B71" s="7">
        <v>43143</v>
      </c>
      <c r="C71" t="s">
        <v>368</v>
      </c>
      <c r="D71">
        <v>1</v>
      </c>
      <c r="E71">
        <v>0</v>
      </c>
      <c r="F71">
        <v>0</v>
      </c>
      <c r="G71">
        <v>1</v>
      </c>
    </row>
    <row r="72" spans="1:7" x14ac:dyDescent="0.3">
      <c r="A72" t="s">
        <v>134</v>
      </c>
      <c r="B72" s="7">
        <v>43143</v>
      </c>
      <c r="C72" t="s">
        <v>350</v>
      </c>
      <c r="D72">
        <v>1</v>
      </c>
      <c r="E72">
        <v>0</v>
      </c>
      <c r="F72">
        <v>0</v>
      </c>
      <c r="G72">
        <v>1</v>
      </c>
    </row>
    <row r="73" spans="1:7" x14ac:dyDescent="0.3">
      <c r="A73" t="s">
        <v>178</v>
      </c>
      <c r="B73" s="7">
        <v>43143</v>
      </c>
      <c r="C73" t="s">
        <v>369</v>
      </c>
      <c r="D73">
        <v>1</v>
      </c>
      <c r="E73">
        <v>0</v>
      </c>
      <c r="F73">
        <v>0</v>
      </c>
      <c r="G73">
        <v>1</v>
      </c>
    </row>
    <row r="74" spans="1:7" x14ac:dyDescent="0.3">
      <c r="A74" t="s">
        <v>164</v>
      </c>
      <c r="B74" s="7">
        <v>43148</v>
      </c>
      <c r="C74" t="s">
        <v>370</v>
      </c>
      <c r="D74">
        <v>1</v>
      </c>
      <c r="E74">
        <v>0</v>
      </c>
      <c r="F74">
        <v>0</v>
      </c>
      <c r="G74">
        <v>1</v>
      </c>
    </row>
    <row r="75" spans="1:7" x14ac:dyDescent="0.3">
      <c r="A75" t="s">
        <v>134</v>
      </c>
      <c r="B75" s="7">
        <v>43148</v>
      </c>
      <c r="C75" t="s">
        <v>371</v>
      </c>
      <c r="D75">
        <v>1</v>
      </c>
      <c r="E75">
        <v>0</v>
      </c>
      <c r="F75">
        <v>0</v>
      </c>
      <c r="G75">
        <v>1</v>
      </c>
    </row>
    <row r="76" spans="1:7" x14ac:dyDescent="0.3">
      <c r="A76" t="s">
        <v>89</v>
      </c>
      <c r="B76" s="7">
        <v>43158</v>
      </c>
      <c r="C76" t="s">
        <v>327</v>
      </c>
      <c r="D76">
        <v>0</v>
      </c>
      <c r="E76">
        <v>0</v>
      </c>
      <c r="F76">
        <v>1</v>
      </c>
      <c r="G76">
        <v>1</v>
      </c>
    </row>
    <row r="77" spans="1:7" x14ac:dyDescent="0.3">
      <c r="A77" t="s">
        <v>6</v>
      </c>
      <c r="B77" s="7">
        <v>43193</v>
      </c>
      <c r="C77" t="s">
        <v>333</v>
      </c>
      <c r="D77">
        <v>0</v>
      </c>
      <c r="E77">
        <v>1</v>
      </c>
      <c r="F77">
        <v>0</v>
      </c>
      <c r="G77">
        <v>1</v>
      </c>
    </row>
    <row r="78" spans="1:7" x14ac:dyDescent="0.3">
      <c r="A78" t="s">
        <v>6</v>
      </c>
      <c r="B78" s="7">
        <v>43220</v>
      </c>
      <c r="C78" t="s">
        <v>372</v>
      </c>
      <c r="D78">
        <v>1</v>
      </c>
      <c r="E78">
        <v>0</v>
      </c>
      <c r="F78">
        <v>0</v>
      </c>
      <c r="G78">
        <v>1</v>
      </c>
    </row>
    <row r="79" spans="1:7" x14ac:dyDescent="0.3">
      <c r="A79" t="s">
        <v>6</v>
      </c>
      <c r="B79" s="7">
        <v>43271</v>
      </c>
      <c r="C79" t="s">
        <v>373</v>
      </c>
      <c r="D79">
        <v>1</v>
      </c>
      <c r="E79">
        <v>0</v>
      </c>
      <c r="F79">
        <v>0</v>
      </c>
      <c r="G79">
        <v>1</v>
      </c>
    </row>
    <row r="80" spans="1:7" x14ac:dyDescent="0.3">
      <c r="A80" t="s">
        <v>164</v>
      </c>
      <c r="B80" s="7">
        <v>43288</v>
      </c>
      <c r="C80" t="s">
        <v>374</v>
      </c>
      <c r="D80">
        <v>0</v>
      </c>
      <c r="E80">
        <v>1</v>
      </c>
      <c r="F80">
        <v>0</v>
      </c>
      <c r="G80">
        <v>1</v>
      </c>
    </row>
    <row r="81" spans="1:7" x14ac:dyDescent="0.3">
      <c r="A81" t="s">
        <v>6</v>
      </c>
      <c r="B81" s="7">
        <v>43343</v>
      </c>
      <c r="C81" t="s">
        <v>375</v>
      </c>
      <c r="D81">
        <v>0</v>
      </c>
      <c r="E81">
        <v>0</v>
      </c>
      <c r="F81">
        <v>1</v>
      </c>
      <c r="G81">
        <v>1</v>
      </c>
    </row>
    <row r="82" spans="1:7" x14ac:dyDescent="0.3">
      <c r="A82" t="s">
        <v>6</v>
      </c>
      <c r="B82" s="7">
        <v>43343</v>
      </c>
      <c r="C82" t="s">
        <v>376</v>
      </c>
      <c r="D82">
        <v>0</v>
      </c>
      <c r="E82">
        <v>0</v>
      </c>
      <c r="F82">
        <v>1</v>
      </c>
      <c r="G82">
        <v>1</v>
      </c>
    </row>
    <row r="83" spans="1:7" x14ac:dyDescent="0.3">
      <c r="A83" t="s">
        <v>6</v>
      </c>
      <c r="B83" s="7">
        <v>43343</v>
      </c>
      <c r="C83" t="s">
        <v>353</v>
      </c>
      <c r="D83">
        <v>0</v>
      </c>
      <c r="E83">
        <v>0</v>
      </c>
      <c r="F83">
        <v>1</v>
      </c>
      <c r="G83">
        <v>1</v>
      </c>
    </row>
    <row r="84" spans="1:7" x14ac:dyDescent="0.3">
      <c r="A84" t="s">
        <v>313</v>
      </c>
      <c r="B84" s="7">
        <v>43343</v>
      </c>
      <c r="C84" t="s">
        <v>323</v>
      </c>
      <c r="D84">
        <v>1</v>
      </c>
      <c r="E84">
        <v>0</v>
      </c>
      <c r="F84">
        <v>0</v>
      </c>
      <c r="G84">
        <v>1</v>
      </c>
    </row>
    <row r="85" spans="1:7" x14ac:dyDescent="0.3">
      <c r="A85" t="s">
        <v>6</v>
      </c>
      <c r="B85" s="7">
        <v>43422</v>
      </c>
      <c r="C85" t="s">
        <v>26</v>
      </c>
      <c r="D85">
        <v>0</v>
      </c>
      <c r="E85">
        <v>0</v>
      </c>
      <c r="F85">
        <v>1</v>
      </c>
      <c r="G85">
        <v>1</v>
      </c>
    </row>
    <row r="86" spans="1:7" x14ac:dyDescent="0.3">
      <c r="A86" t="s">
        <v>178</v>
      </c>
      <c r="B86" s="7">
        <v>43424</v>
      </c>
      <c r="C86" t="s">
        <v>326</v>
      </c>
      <c r="D86">
        <v>1</v>
      </c>
      <c r="E86">
        <v>0</v>
      </c>
      <c r="F86">
        <v>0</v>
      </c>
      <c r="G86">
        <v>1</v>
      </c>
    </row>
    <row r="87" spans="1:7" x14ac:dyDescent="0.3">
      <c r="A87" t="s">
        <v>6</v>
      </c>
      <c r="B87" s="7">
        <v>43424</v>
      </c>
      <c r="C87" t="s">
        <v>377</v>
      </c>
      <c r="D87">
        <v>1</v>
      </c>
      <c r="E87">
        <v>0</v>
      </c>
      <c r="F87">
        <v>0</v>
      </c>
      <c r="G87">
        <v>1</v>
      </c>
    </row>
    <row r="88" spans="1:7" x14ac:dyDescent="0.3">
      <c r="A88" t="s">
        <v>6</v>
      </c>
      <c r="B88" s="7">
        <v>43424</v>
      </c>
      <c r="C88" t="s">
        <v>378</v>
      </c>
      <c r="D88">
        <v>1</v>
      </c>
      <c r="E88">
        <v>0</v>
      </c>
      <c r="F88">
        <v>0</v>
      </c>
      <c r="G88">
        <v>1</v>
      </c>
    </row>
    <row r="89" spans="1:7" x14ac:dyDescent="0.3">
      <c r="A89" t="s">
        <v>6</v>
      </c>
      <c r="B89" s="7">
        <v>43437</v>
      </c>
      <c r="C89" t="s">
        <v>379</v>
      </c>
      <c r="D89">
        <v>0</v>
      </c>
      <c r="E89">
        <v>0</v>
      </c>
      <c r="F89">
        <v>1</v>
      </c>
      <c r="G89">
        <v>1</v>
      </c>
    </row>
    <row r="90" spans="1:7" x14ac:dyDescent="0.3">
      <c r="A90" t="s">
        <v>178</v>
      </c>
      <c r="B90" s="7">
        <v>43437</v>
      </c>
      <c r="C90" t="s">
        <v>380</v>
      </c>
      <c r="D90">
        <v>1</v>
      </c>
      <c r="E90">
        <v>0</v>
      </c>
      <c r="F90">
        <v>0</v>
      </c>
      <c r="G90">
        <v>1</v>
      </c>
    </row>
    <row r="91" spans="1:7" x14ac:dyDescent="0.3">
      <c r="A91" t="s">
        <v>89</v>
      </c>
      <c r="B91" s="7">
        <v>43463</v>
      </c>
      <c r="C91" t="s">
        <v>327</v>
      </c>
      <c r="D91">
        <v>1</v>
      </c>
      <c r="E91">
        <v>0</v>
      </c>
      <c r="F91">
        <v>0</v>
      </c>
      <c r="G91">
        <v>1</v>
      </c>
    </row>
    <row r="92" spans="1:7" x14ac:dyDescent="0.3">
      <c r="A92" t="s">
        <v>313</v>
      </c>
      <c r="B92" s="7">
        <v>43463</v>
      </c>
      <c r="C92" t="s">
        <v>29</v>
      </c>
      <c r="D92">
        <v>0</v>
      </c>
      <c r="E92">
        <v>0</v>
      </c>
      <c r="F92">
        <v>1</v>
      </c>
      <c r="G92">
        <v>1</v>
      </c>
    </row>
    <row r="93" spans="1:7" x14ac:dyDescent="0.3">
      <c r="A93" t="s">
        <v>178</v>
      </c>
      <c r="B93" s="7">
        <v>43472</v>
      </c>
      <c r="C93" t="s">
        <v>381</v>
      </c>
      <c r="D93">
        <v>1</v>
      </c>
      <c r="E93">
        <v>0</v>
      </c>
      <c r="F93">
        <v>0</v>
      </c>
      <c r="G93">
        <v>1</v>
      </c>
    </row>
    <row r="94" spans="1:7" x14ac:dyDescent="0.3">
      <c r="A94" t="s">
        <v>6</v>
      </c>
      <c r="B94" s="7">
        <v>43472</v>
      </c>
      <c r="C94" t="s">
        <v>382</v>
      </c>
      <c r="D94">
        <v>0</v>
      </c>
      <c r="E94">
        <v>0</v>
      </c>
      <c r="F94">
        <v>1</v>
      </c>
      <c r="G94">
        <v>1</v>
      </c>
    </row>
    <row r="95" spans="1:7" x14ac:dyDescent="0.3">
      <c r="A95" t="s">
        <v>89</v>
      </c>
      <c r="B95" s="7">
        <v>43493</v>
      </c>
      <c r="C95" t="s">
        <v>327</v>
      </c>
      <c r="D95">
        <v>0</v>
      </c>
      <c r="E95">
        <v>1</v>
      </c>
      <c r="F95">
        <v>0</v>
      </c>
      <c r="G95">
        <v>1</v>
      </c>
    </row>
    <row r="96" spans="1:7" x14ac:dyDescent="0.3">
      <c r="A96" t="s">
        <v>178</v>
      </c>
      <c r="B96" s="7">
        <v>43497</v>
      </c>
      <c r="C96" t="s">
        <v>341</v>
      </c>
      <c r="D96">
        <v>0</v>
      </c>
      <c r="E96">
        <v>0</v>
      </c>
      <c r="F96">
        <v>1</v>
      </c>
      <c r="G96">
        <v>1</v>
      </c>
    </row>
    <row r="97" spans="1:7" x14ac:dyDescent="0.3">
      <c r="A97" t="s">
        <v>178</v>
      </c>
      <c r="B97" s="7">
        <v>43497</v>
      </c>
      <c r="C97" t="s">
        <v>383</v>
      </c>
      <c r="D97">
        <v>0</v>
      </c>
      <c r="E97">
        <v>0</v>
      </c>
      <c r="F97">
        <v>1</v>
      </c>
      <c r="G97">
        <v>1</v>
      </c>
    </row>
    <row r="98" spans="1:7" x14ac:dyDescent="0.3">
      <c r="A98" t="s">
        <v>6</v>
      </c>
      <c r="B98" s="7">
        <v>43497</v>
      </c>
      <c r="C98" t="s">
        <v>384</v>
      </c>
      <c r="D98">
        <v>0</v>
      </c>
      <c r="E98">
        <v>0</v>
      </c>
      <c r="F98">
        <v>1</v>
      </c>
      <c r="G98">
        <v>1</v>
      </c>
    </row>
    <row r="99" spans="1:7" x14ac:dyDescent="0.3">
      <c r="A99" t="s">
        <v>313</v>
      </c>
      <c r="B99" s="7">
        <v>43497</v>
      </c>
      <c r="C99" t="s">
        <v>385</v>
      </c>
      <c r="D99">
        <v>1</v>
      </c>
      <c r="E99">
        <v>0</v>
      </c>
      <c r="F99">
        <v>0</v>
      </c>
      <c r="G99">
        <v>1</v>
      </c>
    </row>
    <row r="100" spans="1:7" x14ac:dyDescent="0.3">
      <c r="A100" t="s">
        <v>313</v>
      </c>
      <c r="B100" s="7">
        <v>43497</v>
      </c>
      <c r="C100" t="s">
        <v>386</v>
      </c>
      <c r="D100">
        <v>1</v>
      </c>
      <c r="E100">
        <v>0</v>
      </c>
      <c r="F100">
        <v>0</v>
      </c>
      <c r="G100">
        <v>1</v>
      </c>
    </row>
    <row r="101" spans="1:7" x14ac:dyDescent="0.3">
      <c r="A101" t="s">
        <v>178</v>
      </c>
      <c r="B101" s="7">
        <v>43502</v>
      </c>
      <c r="C101" t="s">
        <v>387</v>
      </c>
      <c r="D101">
        <v>1</v>
      </c>
      <c r="E101">
        <v>0</v>
      </c>
      <c r="F101">
        <v>0</v>
      </c>
      <c r="G101">
        <v>1</v>
      </c>
    </row>
    <row r="102" spans="1:7" x14ac:dyDescent="0.3">
      <c r="A102" t="s">
        <v>89</v>
      </c>
      <c r="B102" s="7">
        <v>43502</v>
      </c>
      <c r="C102" t="s">
        <v>388</v>
      </c>
      <c r="D102">
        <v>0</v>
      </c>
      <c r="E102">
        <v>0</v>
      </c>
      <c r="F102">
        <v>1</v>
      </c>
      <c r="G102">
        <v>1</v>
      </c>
    </row>
    <row r="103" spans="1:7" x14ac:dyDescent="0.3">
      <c r="A103" t="s">
        <v>178</v>
      </c>
      <c r="B103" s="7">
        <v>43502</v>
      </c>
      <c r="C103" t="s">
        <v>389</v>
      </c>
      <c r="D103">
        <v>0</v>
      </c>
      <c r="E103">
        <v>0</v>
      </c>
      <c r="F103">
        <v>1</v>
      </c>
      <c r="G103">
        <v>1</v>
      </c>
    </row>
    <row r="104" spans="1:7" x14ac:dyDescent="0.3">
      <c r="A104" t="s">
        <v>6</v>
      </c>
      <c r="B104" s="7">
        <v>43502</v>
      </c>
      <c r="C104" t="s">
        <v>344</v>
      </c>
      <c r="D104">
        <v>0</v>
      </c>
      <c r="E104">
        <v>0</v>
      </c>
      <c r="F104">
        <v>1</v>
      </c>
      <c r="G104">
        <v>1</v>
      </c>
    </row>
    <row r="105" spans="1:7" x14ac:dyDescent="0.3">
      <c r="A105" t="s">
        <v>313</v>
      </c>
      <c r="B105" s="7">
        <v>43518</v>
      </c>
      <c r="C105" t="s">
        <v>335</v>
      </c>
      <c r="D105">
        <v>1</v>
      </c>
      <c r="E105">
        <v>0</v>
      </c>
      <c r="F105">
        <v>0</v>
      </c>
      <c r="G105">
        <v>1</v>
      </c>
    </row>
    <row r="106" spans="1:7" x14ac:dyDescent="0.3">
      <c r="A106" t="s">
        <v>7</v>
      </c>
      <c r="B106" s="7">
        <v>43518</v>
      </c>
      <c r="C106" t="s">
        <v>27</v>
      </c>
      <c r="D106">
        <v>0</v>
      </c>
      <c r="E106">
        <v>0</v>
      </c>
      <c r="F106">
        <v>1</v>
      </c>
      <c r="G106">
        <v>1</v>
      </c>
    </row>
    <row r="107" spans="1:7" x14ac:dyDescent="0.3">
      <c r="A107" t="s">
        <v>6</v>
      </c>
      <c r="B107" s="7">
        <v>43520</v>
      </c>
      <c r="C107" t="s">
        <v>390</v>
      </c>
      <c r="D107">
        <v>1</v>
      </c>
      <c r="E107">
        <v>0</v>
      </c>
      <c r="F107">
        <v>0</v>
      </c>
      <c r="G107">
        <v>1</v>
      </c>
    </row>
    <row r="108" spans="1:7" x14ac:dyDescent="0.3">
      <c r="A108" t="s">
        <v>303</v>
      </c>
      <c r="B108" s="7">
        <v>43520</v>
      </c>
      <c r="C108" t="s">
        <v>391</v>
      </c>
      <c r="D108">
        <v>1</v>
      </c>
      <c r="E108">
        <v>0</v>
      </c>
      <c r="F108">
        <v>0</v>
      </c>
      <c r="G108">
        <v>1</v>
      </c>
    </row>
    <row r="109" spans="1:7" x14ac:dyDescent="0.3">
      <c r="A109" t="s">
        <v>178</v>
      </c>
      <c r="B109" s="7">
        <v>43522</v>
      </c>
      <c r="C109" t="s">
        <v>345</v>
      </c>
      <c r="D109">
        <v>1</v>
      </c>
      <c r="E109">
        <v>0</v>
      </c>
      <c r="F109">
        <v>0</v>
      </c>
      <c r="G109">
        <v>1</v>
      </c>
    </row>
    <row r="110" spans="1:7" x14ac:dyDescent="0.3">
      <c r="A110" t="s">
        <v>178</v>
      </c>
      <c r="B110" s="7">
        <v>43522</v>
      </c>
      <c r="C110" t="s">
        <v>392</v>
      </c>
      <c r="D110">
        <v>1</v>
      </c>
      <c r="E110">
        <v>0</v>
      </c>
      <c r="F110">
        <v>0</v>
      </c>
      <c r="G110">
        <v>1</v>
      </c>
    </row>
    <row r="111" spans="1:7" x14ac:dyDescent="0.3">
      <c r="A111" t="s">
        <v>7</v>
      </c>
      <c r="B111" s="7">
        <v>43537</v>
      </c>
      <c r="C111" t="s">
        <v>354</v>
      </c>
      <c r="D111">
        <v>0</v>
      </c>
      <c r="E111">
        <v>0</v>
      </c>
      <c r="F111">
        <v>1</v>
      </c>
      <c r="G111">
        <v>1</v>
      </c>
    </row>
    <row r="112" spans="1:7" x14ac:dyDescent="0.3">
      <c r="A112" t="s">
        <v>134</v>
      </c>
      <c r="B112" s="7">
        <v>43537</v>
      </c>
      <c r="C112" t="s">
        <v>393</v>
      </c>
      <c r="D112">
        <v>1</v>
      </c>
      <c r="E112">
        <v>0</v>
      </c>
      <c r="F112">
        <v>0</v>
      </c>
      <c r="G112">
        <v>1</v>
      </c>
    </row>
    <row r="113" spans="1:7" x14ac:dyDescent="0.3">
      <c r="A113" t="s">
        <v>6</v>
      </c>
      <c r="B113" s="7">
        <v>43537</v>
      </c>
      <c r="C113" t="s">
        <v>394</v>
      </c>
      <c r="D113">
        <v>0</v>
      </c>
      <c r="E113">
        <v>0</v>
      </c>
      <c r="F113">
        <v>1</v>
      </c>
      <c r="G113">
        <v>1</v>
      </c>
    </row>
    <row r="114" spans="1:7" x14ac:dyDescent="0.3">
      <c r="A114" t="s">
        <v>178</v>
      </c>
      <c r="B114" s="7">
        <v>43537</v>
      </c>
      <c r="C114" t="s">
        <v>395</v>
      </c>
      <c r="D114">
        <v>0</v>
      </c>
      <c r="E114">
        <v>0</v>
      </c>
      <c r="F114">
        <v>1</v>
      </c>
      <c r="G114">
        <v>1</v>
      </c>
    </row>
    <row r="115" spans="1:7" x14ac:dyDescent="0.3">
      <c r="A115" t="s">
        <v>178</v>
      </c>
      <c r="B115" s="7">
        <v>43537</v>
      </c>
      <c r="C115" t="s">
        <v>326</v>
      </c>
      <c r="D115">
        <v>0</v>
      </c>
      <c r="E115">
        <v>0</v>
      </c>
      <c r="F115">
        <v>1</v>
      </c>
      <c r="G115">
        <v>1</v>
      </c>
    </row>
    <row r="116" spans="1:7" x14ac:dyDescent="0.3">
      <c r="A116" t="s">
        <v>134</v>
      </c>
      <c r="B116" s="7">
        <v>43540</v>
      </c>
      <c r="C116" t="s">
        <v>393</v>
      </c>
      <c r="D116">
        <v>1</v>
      </c>
      <c r="E116">
        <v>0</v>
      </c>
      <c r="F116">
        <v>0</v>
      </c>
      <c r="G116">
        <v>1</v>
      </c>
    </row>
    <row r="117" spans="1:7" x14ac:dyDescent="0.3">
      <c r="A117" t="s">
        <v>178</v>
      </c>
      <c r="B117" s="7">
        <v>43551</v>
      </c>
      <c r="C117" t="s">
        <v>365</v>
      </c>
      <c r="D117">
        <v>1</v>
      </c>
      <c r="E117">
        <v>0</v>
      </c>
      <c r="F117">
        <v>0</v>
      </c>
      <c r="G117">
        <v>1</v>
      </c>
    </row>
    <row r="118" spans="1:7" x14ac:dyDescent="0.3">
      <c r="A118" t="s">
        <v>6</v>
      </c>
      <c r="B118" s="7">
        <v>43551</v>
      </c>
      <c r="C118" t="s">
        <v>396</v>
      </c>
      <c r="D118">
        <v>1</v>
      </c>
      <c r="E118">
        <v>0</v>
      </c>
      <c r="F118">
        <v>0</v>
      </c>
      <c r="G118">
        <v>1</v>
      </c>
    </row>
    <row r="119" spans="1:7" x14ac:dyDescent="0.3">
      <c r="A119" t="s">
        <v>7</v>
      </c>
      <c r="B119" s="7">
        <v>43557</v>
      </c>
      <c r="C119" t="s">
        <v>27</v>
      </c>
      <c r="D119">
        <v>0</v>
      </c>
      <c r="E119">
        <v>0</v>
      </c>
      <c r="F119">
        <v>1</v>
      </c>
      <c r="G119">
        <v>1</v>
      </c>
    </row>
    <row r="120" spans="1:7" x14ac:dyDescent="0.3">
      <c r="A120" t="s">
        <v>6</v>
      </c>
      <c r="B120" s="7">
        <v>43558</v>
      </c>
      <c r="C120" t="s">
        <v>397</v>
      </c>
      <c r="D120">
        <v>0</v>
      </c>
      <c r="E120">
        <v>0</v>
      </c>
      <c r="F120">
        <v>1</v>
      </c>
      <c r="G120">
        <v>1</v>
      </c>
    </row>
    <row r="121" spans="1:7" x14ac:dyDescent="0.3">
      <c r="A121" t="s">
        <v>178</v>
      </c>
      <c r="B121" s="7">
        <v>43558</v>
      </c>
      <c r="C121" t="s">
        <v>341</v>
      </c>
      <c r="D121">
        <v>0</v>
      </c>
      <c r="E121">
        <v>0</v>
      </c>
      <c r="F121">
        <v>1</v>
      </c>
      <c r="G121">
        <v>1</v>
      </c>
    </row>
    <row r="122" spans="1:7" x14ac:dyDescent="0.3">
      <c r="A122" t="s">
        <v>171</v>
      </c>
      <c r="B122" s="7">
        <v>43600</v>
      </c>
      <c r="C122" t="s">
        <v>398</v>
      </c>
      <c r="D122">
        <v>1</v>
      </c>
      <c r="E122">
        <v>0</v>
      </c>
      <c r="F122">
        <v>0</v>
      </c>
      <c r="G122">
        <v>1</v>
      </c>
    </row>
    <row r="123" spans="1:7" x14ac:dyDescent="0.3">
      <c r="A123" t="s">
        <v>7</v>
      </c>
      <c r="B123" s="7">
        <v>43601</v>
      </c>
      <c r="C123" t="s">
        <v>354</v>
      </c>
      <c r="D123">
        <v>0</v>
      </c>
      <c r="E123">
        <v>0</v>
      </c>
      <c r="F123">
        <v>1</v>
      </c>
      <c r="G123">
        <v>1</v>
      </c>
    </row>
    <row r="124" spans="1:7" x14ac:dyDescent="0.3">
      <c r="A124" t="s">
        <v>6</v>
      </c>
      <c r="B124" s="7">
        <v>43601</v>
      </c>
      <c r="C124" t="s">
        <v>320</v>
      </c>
      <c r="D124">
        <v>0</v>
      </c>
      <c r="E124">
        <v>0</v>
      </c>
      <c r="F124">
        <v>1</v>
      </c>
      <c r="G124">
        <v>1</v>
      </c>
    </row>
    <row r="125" spans="1:7" x14ac:dyDescent="0.3">
      <c r="A125" t="s">
        <v>89</v>
      </c>
      <c r="B125" s="7">
        <v>43602</v>
      </c>
      <c r="C125" t="s">
        <v>327</v>
      </c>
      <c r="D125">
        <v>0</v>
      </c>
      <c r="E125">
        <v>0</v>
      </c>
      <c r="F125">
        <v>1</v>
      </c>
      <c r="G125">
        <v>1</v>
      </c>
    </row>
    <row r="126" spans="1:7" x14ac:dyDescent="0.3">
      <c r="A126" t="s">
        <v>89</v>
      </c>
      <c r="B126" s="7">
        <v>43621</v>
      </c>
      <c r="C126" t="s">
        <v>346</v>
      </c>
      <c r="D126">
        <v>0</v>
      </c>
      <c r="E126">
        <v>1</v>
      </c>
      <c r="F126">
        <v>0</v>
      </c>
      <c r="G126">
        <v>1</v>
      </c>
    </row>
    <row r="127" spans="1:7" x14ac:dyDescent="0.3">
      <c r="A127" t="s">
        <v>178</v>
      </c>
      <c r="B127" s="7">
        <v>43629</v>
      </c>
      <c r="C127" t="s">
        <v>326</v>
      </c>
      <c r="D127">
        <v>0</v>
      </c>
      <c r="E127">
        <v>0</v>
      </c>
      <c r="F127">
        <v>1</v>
      </c>
      <c r="G127">
        <v>1</v>
      </c>
    </row>
    <row r="128" spans="1:7" x14ac:dyDescent="0.3">
      <c r="A128" t="s">
        <v>178</v>
      </c>
      <c r="B128" s="7">
        <v>43629</v>
      </c>
      <c r="C128" t="s">
        <v>341</v>
      </c>
      <c r="D128">
        <v>0</v>
      </c>
      <c r="E128">
        <v>0</v>
      </c>
      <c r="F128">
        <v>1</v>
      </c>
      <c r="G128">
        <v>1</v>
      </c>
    </row>
    <row r="129" spans="1:7" x14ac:dyDescent="0.3">
      <c r="A129" t="s">
        <v>6</v>
      </c>
      <c r="B129" s="7">
        <v>43629</v>
      </c>
      <c r="C129" t="s">
        <v>353</v>
      </c>
      <c r="D129">
        <v>0</v>
      </c>
      <c r="E129">
        <v>1</v>
      </c>
      <c r="F129">
        <v>0</v>
      </c>
      <c r="G129">
        <v>1</v>
      </c>
    </row>
    <row r="130" spans="1:7" x14ac:dyDescent="0.3">
      <c r="A130" t="s">
        <v>313</v>
      </c>
      <c r="B130" s="7">
        <v>43629</v>
      </c>
      <c r="C130" t="s">
        <v>324</v>
      </c>
      <c r="D130">
        <v>0</v>
      </c>
      <c r="E130">
        <v>0</v>
      </c>
      <c r="F130">
        <v>1</v>
      </c>
      <c r="G130">
        <v>1</v>
      </c>
    </row>
    <row r="131" spans="1:7" x14ac:dyDescent="0.3">
      <c r="A131" t="s">
        <v>6</v>
      </c>
      <c r="B131" s="7">
        <v>43629</v>
      </c>
      <c r="C131" t="s">
        <v>399</v>
      </c>
      <c r="D131">
        <v>0</v>
      </c>
      <c r="E131">
        <v>1</v>
      </c>
      <c r="F131">
        <v>0</v>
      </c>
      <c r="G131">
        <v>1</v>
      </c>
    </row>
    <row r="132" spans="1:7" x14ac:dyDescent="0.3">
      <c r="A132" t="s">
        <v>134</v>
      </c>
      <c r="B132" s="7">
        <v>43638</v>
      </c>
      <c r="C132" t="s">
        <v>25</v>
      </c>
      <c r="D132">
        <v>1</v>
      </c>
      <c r="E132">
        <v>0</v>
      </c>
      <c r="F132">
        <v>0</v>
      </c>
      <c r="G132">
        <v>1</v>
      </c>
    </row>
    <row r="133" spans="1:7" x14ac:dyDescent="0.3">
      <c r="A133" t="s">
        <v>7</v>
      </c>
      <c r="B133" s="7">
        <v>43638</v>
      </c>
      <c r="C133" t="s">
        <v>400</v>
      </c>
      <c r="D133">
        <v>1</v>
      </c>
      <c r="E133">
        <v>0</v>
      </c>
      <c r="F133">
        <v>0</v>
      </c>
      <c r="G133">
        <v>1</v>
      </c>
    </row>
    <row r="134" spans="1:7" x14ac:dyDescent="0.3">
      <c r="A134" t="s">
        <v>164</v>
      </c>
      <c r="B134" s="7">
        <v>43638</v>
      </c>
      <c r="C134" t="s">
        <v>364</v>
      </c>
      <c r="D134">
        <v>0</v>
      </c>
      <c r="E134">
        <v>0</v>
      </c>
      <c r="F134">
        <v>1</v>
      </c>
      <c r="G134">
        <v>1</v>
      </c>
    </row>
    <row r="135" spans="1:7" x14ac:dyDescent="0.3">
      <c r="A135" t="s">
        <v>178</v>
      </c>
      <c r="B135" s="7">
        <v>43679</v>
      </c>
      <c r="C135" t="s">
        <v>401</v>
      </c>
      <c r="D135">
        <v>1</v>
      </c>
      <c r="E135">
        <v>0</v>
      </c>
      <c r="F135">
        <v>0</v>
      </c>
      <c r="G135">
        <v>1</v>
      </c>
    </row>
    <row r="136" spans="1:7" x14ac:dyDescent="0.3">
      <c r="A136" t="s">
        <v>178</v>
      </c>
      <c r="B136" s="7">
        <v>43679</v>
      </c>
      <c r="C136" t="s">
        <v>365</v>
      </c>
      <c r="D136">
        <v>1</v>
      </c>
      <c r="E136">
        <v>0</v>
      </c>
      <c r="F136">
        <v>0</v>
      </c>
      <c r="G136">
        <v>1</v>
      </c>
    </row>
    <row r="137" spans="1:7" x14ac:dyDescent="0.3">
      <c r="A137" t="s">
        <v>164</v>
      </c>
      <c r="B137" s="7">
        <v>43688</v>
      </c>
      <c r="C137" t="s">
        <v>374</v>
      </c>
      <c r="D137">
        <v>0</v>
      </c>
      <c r="E137">
        <v>0</v>
      </c>
      <c r="F137">
        <v>1</v>
      </c>
      <c r="G137">
        <v>1</v>
      </c>
    </row>
    <row r="138" spans="1:7" x14ac:dyDescent="0.3">
      <c r="A138" t="s">
        <v>134</v>
      </c>
      <c r="B138" s="7">
        <v>43688</v>
      </c>
      <c r="C138" t="s">
        <v>332</v>
      </c>
      <c r="D138">
        <v>1</v>
      </c>
      <c r="E138">
        <v>0</v>
      </c>
      <c r="F138">
        <v>0</v>
      </c>
      <c r="G138">
        <v>1</v>
      </c>
    </row>
    <row r="139" spans="1:7" x14ac:dyDescent="0.3">
      <c r="A139" t="s">
        <v>178</v>
      </c>
      <c r="B139" s="7">
        <v>43689</v>
      </c>
      <c r="C139" t="s">
        <v>365</v>
      </c>
      <c r="D139">
        <v>1</v>
      </c>
      <c r="E139">
        <v>0</v>
      </c>
      <c r="F139">
        <v>0</v>
      </c>
      <c r="G139">
        <v>1</v>
      </c>
    </row>
    <row r="140" spans="1:7" x14ac:dyDescent="0.3">
      <c r="A140" t="s">
        <v>6</v>
      </c>
      <c r="B140" s="7">
        <v>43689</v>
      </c>
      <c r="C140" t="s">
        <v>402</v>
      </c>
      <c r="D140">
        <v>1</v>
      </c>
      <c r="E140">
        <v>0</v>
      </c>
      <c r="F140">
        <v>0</v>
      </c>
      <c r="G140">
        <v>1</v>
      </c>
    </row>
    <row r="141" spans="1:7" x14ac:dyDescent="0.3">
      <c r="A141" t="s">
        <v>6</v>
      </c>
      <c r="B141" s="7">
        <v>43689</v>
      </c>
      <c r="C141" t="s">
        <v>403</v>
      </c>
      <c r="D141">
        <v>0</v>
      </c>
      <c r="E141">
        <v>0</v>
      </c>
      <c r="F141">
        <v>1</v>
      </c>
      <c r="G141">
        <v>1</v>
      </c>
    </row>
    <row r="142" spans="1:7" x14ac:dyDescent="0.3">
      <c r="A142" t="s">
        <v>164</v>
      </c>
      <c r="B142" s="7">
        <v>43703</v>
      </c>
      <c r="C142" t="s">
        <v>404</v>
      </c>
      <c r="D142">
        <v>1</v>
      </c>
      <c r="E142">
        <v>0</v>
      </c>
      <c r="F142">
        <v>0</v>
      </c>
      <c r="G142">
        <v>1</v>
      </c>
    </row>
    <row r="143" spans="1:7" x14ac:dyDescent="0.3">
      <c r="A143" t="s">
        <v>134</v>
      </c>
      <c r="B143" s="7">
        <v>43703</v>
      </c>
      <c r="C143" t="s">
        <v>405</v>
      </c>
      <c r="D143">
        <v>1</v>
      </c>
      <c r="E143">
        <v>0</v>
      </c>
      <c r="F143">
        <v>0</v>
      </c>
      <c r="G143">
        <v>1</v>
      </c>
    </row>
    <row r="144" spans="1:7" x14ac:dyDescent="0.3">
      <c r="A144" t="s">
        <v>134</v>
      </c>
      <c r="B144" s="7">
        <v>43703</v>
      </c>
      <c r="C144" t="s">
        <v>25</v>
      </c>
      <c r="D144">
        <v>1</v>
      </c>
      <c r="E144">
        <v>0</v>
      </c>
      <c r="F144">
        <v>0</v>
      </c>
      <c r="G144">
        <v>1</v>
      </c>
    </row>
    <row r="145" spans="1:7" x14ac:dyDescent="0.3">
      <c r="A145" t="s">
        <v>6</v>
      </c>
      <c r="B145" s="7">
        <v>43703</v>
      </c>
      <c r="C145" t="s">
        <v>320</v>
      </c>
      <c r="D145">
        <v>1</v>
      </c>
      <c r="E145">
        <v>0</v>
      </c>
      <c r="F145">
        <v>0</v>
      </c>
      <c r="G145">
        <v>1</v>
      </c>
    </row>
    <row r="146" spans="1:7" x14ac:dyDescent="0.3">
      <c r="A146" t="s">
        <v>178</v>
      </c>
      <c r="B146" s="7">
        <v>43703</v>
      </c>
      <c r="C146" t="s">
        <v>345</v>
      </c>
      <c r="D146">
        <v>0</v>
      </c>
      <c r="E146">
        <v>1</v>
      </c>
      <c r="F146">
        <v>0</v>
      </c>
      <c r="G146">
        <v>1</v>
      </c>
    </row>
    <row r="147" spans="1:7" x14ac:dyDescent="0.3">
      <c r="A147" t="s">
        <v>6</v>
      </c>
      <c r="B147" s="7">
        <v>43704</v>
      </c>
      <c r="C147" t="s">
        <v>406</v>
      </c>
      <c r="D147">
        <v>1</v>
      </c>
      <c r="E147">
        <v>0</v>
      </c>
      <c r="F147">
        <v>0</v>
      </c>
      <c r="G147">
        <v>1</v>
      </c>
    </row>
    <row r="148" spans="1:7" x14ac:dyDescent="0.3">
      <c r="A148" t="s">
        <v>178</v>
      </c>
      <c r="B148" s="7">
        <v>43705</v>
      </c>
      <c r="C148" t="s">
        <v>407</v>
      </c>
      <c r="D148">
        <v>1</v>
      </c>
      <c r="E148">
        <v>0</v>
      </c>
      <c r="F148">
        <v>0</v>
      </c>
      <c r="G148">
        <v>1</v>
      </c>
    </row>
    <row r="149" spans="1:7" x14ac:dyDescent="0.3">
      <c r="A149" t="s">
        <v>178</v>
      </c>
      <c r="B149" s="7">
        <v>43746</v>
      </c>
      <c r="C149" t="s">
        <v>341</v>
      </c>
      <c r="D149">
        <v>0</v>
      </c>
      <c r="E149">
        <v>0</v>
      </c>
      <c r="F149">
        <v>1</v>
      </c>
      <c r="G149">
        <v>1</v>
      </c>
    </row>
    <row r="150" spans="1:7" x14ac:dyDescent="0.3">
      <c r="A150" t="s">
        <v>89</v>
      </c>
      <c r="B150" s="7">
        <v>43746</v>
      </c>
      <c r="C150" t="s">
        <v>408</v>
      </c>
      <c r="D150">
        <v>0</v>
      </c>
      <c r="E150">
        <v>0</v>
      </c>
      <c r="F150">
        <v>1</v>
      </c>
      <c r="G150">
        <v>1</v>
      </c>
    </row>
    <row r="151" spans="1:7" x14ac:dyDescent="0.3">
      <c r="A151" t="s">
        <v>178</v>
      </c>
      <c r="B151" s="7">
        <v>43751</v>
      </c>
      <c r="C151" t="s">
        <v>365</v>
      </c>
      <c r="D151">
        <v>0</v>
      </c>
      <c r="E151">
        <v>0</v>
      </c>
      <c r="F151">
        <v>1</v>
      </c>
      <c r="G151">
        <v>1</v>
      </c>
    </row>
    <row r="152" spans="1:7" x14ac:dyDescent="0.3">
      <c r="A152" t="s">
        <v>303</v>
      </c>
      <c r="B152" s="7">
        <v>43751</v>
      </c>
      <c r="C152" t="s">
        <v>325</v>
      </c>
      <c r="D152">
        <v>0</v>
      </c>
      <c r="E152">
        <v>0</v>
      </c>
      <c r="F152">
        <v>1</v>
      </c>
      <c r="G152">
        <v>1</v>
      </c>
    </row>
    <row r="153" spans="1:7" x14ac:dyDescent="0.3">
      <c r="A153" t="s">
        <v>178</v>
      </c>
      <c r="B153" s="7">
        <v>43751</v>
      </c>
      <c r="C153" t="s">
        <v>381</v>
      </c>
      <c r="D153">
        <v>1</v>
      </c>
      <c r="E153">
        <v>0</v>
      </c>
      <c r="F153">
        <v>0</v>
      </c>
      <c r="G153">
        <v>1</v>
      </c>
    </row>
    <row r="154" spans="1:7" x14ac:dyDescent="0.3">
      <c r="A154" t="s">
        <v>6</v>
      </c>
      <c r="B154" s="7">
        <v>43751</v>
      </c>
      <c r="C154" t="s">
        <v>409</v>
      </c>
      <c r="D154">
        <v>0</v>
      </c>
      <c r="E154">
        <v>0</v>
      </c>
      <c r="F154">
        <v>1</v>
      </c>
      <c r="G154">
        <v>1</v>
      </c>
    </row>
    <row r="155" spans="1:7" x14ac:dyDescent="0.3">
      <c r="A155" t="s">
        <v>6</v>
      </c>
      <c r="B155" s="7">
        <v>43751</v>
      </c>
      <c r="C155" t="s">
        <v>382</v>
      </c>
      <c r="D155">
        <v>0</v>
      </c>
      <c r="E155">
        <v>0</v>
      </c>
      <c r="F155">
        <v>1</v>
      </c>
      <c r="G155">
        <v>1</v>
      </c>
    </row>
    <row r="156" spans="1:7" x14ac:dyDescent="0.3">
      <c r="A156" t="s">
        <v>313</v>
      </c>
      <c r="B156" s="7">
        <v>43751</v>
      </c>
      <c r="C156" t="s">
        <v>322</v>
      </c>
      <c r="D156">
        <v>0</v>
      </c>
      <c r="E156">
        <v>0</v>
      </c>
      <c r="F156">
        <v>1</v>
      </c>
      <c r="G156">
        <v>1</v>
      </c>
    </row>
    <row r="157" spans="1:7" x14ac:dyDescent="0.3">
      <c r="A157" t="s">
        <v>6</v>
      </c>
      <c r="B157" s="7">
        <v>43751</v>
      </c>
      <c r="C157" t="s">
        <v>410</v>
      </c>
      <c r="D157">
        <v>0</v>
      </c>
      <c r="E157">
        <v>0</v>
      </c>
      <c r="F157">
        <v>1</v>
      </c>
      <c r="G157">
        <v>1</v>
      </c>
    </row>
    <row r="158" spans="1:7" x14ac:dyDescent="0.3">
      <c r="A158" t="s">
        <v>7</v>
      </c>
      <c r="B158" s="7">
        <v>43762</v>
      </c>
      <c r="C158" t="s">
        <v>27</v>
      </c>
      <c r="D158">
        <v>0</v>
      </c>
      <c r="E158">
        <v>0</v>
      </c>
      <c r="F158">
        <v>1</v>
      </c>
      <c r="G158">
        <v>1</v>
      </c>
    </row>
    <row r="159" spans="1:7" x14ac:dyDescent="0.3">
      <c r="A159" t="s">
        <v>6</v>
      </c>
      <c r="B159" s="7">
        <v>43762</v>
      </c>
      <c r="C159" t="s">
        <v>411</v>
      </c>
      <c r="D159">
        <v>1</v>
      </c>
      <c r="E159">
        <v>0</v>
      </c>
      <c r="F159">
        <v>0</v>
      </c>
      <c r="G159">
        <v>1</v>
      </c>
    </row>
    <row r="160" spans="1:7" x14ac:dyDescent="0.3">
      <c r="A160" t="s">
        <v>89</v>
      </c>
      <c r="B160" s="7">
        <v>43762</v>
      </c>
      <c r="C160" t="s">
        <v>327</v>
      </c>
      <c r="D160">
        <v>0</v>
      </c>
      <c r="E160">
        <v>0</v>
      </c>
      <c r="F160">
        <v>1</v>
      </c>
      <c r="G160">
        <v>1</v>
      </c>
    </row>
    <row r="161" spans="1:7" x14ac:dyDescent="0.3">
      <c r="A161" t="s">
        <v>89</v>
      </c>
      <c r="B161" s="7">
        <v>43765</v>
      </c>
      <c r="C161" t="s">
        <v>346</v>
      </c>
      <c r="D161">
        <v>1</v>
      </c>
      <c r="E161">
        <v>0</v>
      </c>
      <c r="F161">
        <v>0</v>
      </c>
      <c r="G161">
        <v>1</v>
      </c>
    </row>
    <row r="162" spans="1:7" x14ac:dyDescent="0.3">
      <c r="A162" t="s">
        <v>6</v>
      </c>
      <c r="B162" s="7">
        <v>43765</v>
      </c>
      <c r="C162" t="s">
        <v>382</v>
      </c>
      <c r="D162">
        <v>1</v>
      </c>
      <c r="E162">
        <v>0</v>
      </c>
      <c r="F162">
        <v>0</v>
      </c>
      <c r="G162">
        <v>1</v>
      </c>
    </row>
    <row r="163" spans="1:7" x14ac:dyDescent="0.3">
      <c r="A163" t="s">
        <v>178</v>
      </c>
      <c r="B163" s="7">
        <v>43765</v>
      </c>
      <c r="C163" t="s">
        <v>412</v>
      </c>
      <c r="D163">
        <v>1</v>
      </c>
      <c r="E163">
        <v>0</v>
      </c>
      <c r="F163">
        <v>0</v>
      </c>
      <c r="G163">
        <v>1</v>
      </c>
    </row>
    <row r="164" spans="1:7" x14ac:dyDescent="0.3">
      <c r="A164" t="s">
        <v>89</v>
      </c>
      <c r="B164" s="7">
        <v>43774</v>
      </c>
      <c r="C164" t="s">
        <v>346</v>
      </c>
      <c r="D164">
        <v>1</v>
      </c>
      <c r="E164">
        <v>0</v>
      </c>
      <c r="F164">
        <v>0</v>
      </c>
      <c r="G164">
        <v>1</v>
      </c>
    </row>
    <row r="165" spans="1:7" x14ac:dyDescent="0.3">
      <c r="A165" t="s">
        <v>89</v>
      </c>
      <c r="B165" s="7">
        <v>43775</v>
      </c>
      <c r="C165" t="s">
        <v>327</v>
      </c>
      <c r="D165">
        <v>1</v>
      </c>
      <c r="E165">
        <v>0</v>
      </c>
      <c r="F165">
        <v>0</v>
      </c>
      <c r="G165">
        <v>1</v>
      </c>
    </row>
    <row r="166" spans="1:7" x14ac:dyDescent="0.3">
      <c r="A166" t="s">
        <v>178</v>
      </c>
      <c r="B166" s="7">
        <v>43775</v>
      </c>
      <c r="C166" t="s">
        <v>326</v>
      </c>
      <c r="D166">
        <v>1</v>
      </c>
      <c r="E166">
        <v>0</v>
      </c>
      <c r="F166">
        <v>0</v>
      </c>
      <c r="G166">
        <v>1</v>
      </c>
    </row>
    <row r="167" spans="1:7" x14ac:dyDescent="0.3">
      <c r="A167" t="s">
        <v>89</v>
      </c>
      <c r="B167" s="7">
        <v>43777</v>
      </c>
      <c r="C167" t="s">
        <v>327</v>
      </c>
      <c r="D167">
        <v>0</v>
      </c>
      <c r="E167">
        <v>0</v>
      </c>
      <c r="F167">
        <v>1</v>
      </c>
      <c r="G167">
        <v>1</v>
      </c>
    </row>
    <row r="168" spans="1:7" x14ac:dyDescent="0.3">
      <c r="A168" t="s">
        <v>6</v>
      </c>
      <c r="B168" s="7">
        <v>43783</v>
      </c>
      <c r="C168" t="s">
        <v>320</v>
      </c>
      <c r="D168">
        <v>0</v>
      </c>
      <c r="E168">
        <v>0</v>
      </c>
      <c r="F168">
        <v>1</v>
      </c>
      <c r="G168">
        <v>1</v>
      </c>
    </row>
    <row r="169" spans="1:7" x14ac:dyDescent="0.3">
      <c r="A169" t="s">
        <v>178</v>
      </c>
      <c r="B169" s="7">
        <v>43807</v>
      </c>
      <c r="C169" t="s">
        <v>365</v>
      </c>
      <c r="D169">
        <v>1</v>
      </c>
      <c r="E169">
        <v>0</v>
      </c>
      <c r="F169">
        <v>0</v>
      </c>
      <c r="G169">
        <v>1</v>
      </c>
    </row>
    <row r="170" spans="1:7" x14ac:dyDescent="0.3">
      <c r="A170" t="s">
        <v>178</v>
      </c>
      <c r="B170" s="7">
        <v>43811</v>
      </c>
      <c r="C170" t="s">
        <v>413</v>
      </c>
      <c r="D170">
        <v>1</v>
      </c>
      <c r="E170">
        <v>0</v>
      </c>
      <c r="F170">
        <v>0</v>
      </c>
      <c r="G170">
        <v>1</v>
      </c>
    </row>
    <row r="171" spans="1:7" x14ac:dyDescent="0.3">
      <c r="A171" t="s">
        <v>313</v>
      </c>
      <c r="B171" s="7">
        <v>43813</v>
      </c>
      <c r="C171" t="s">
        <v>29</v>
      </c>
      <c r="D171">
        <v>0</v>
      </c>
      <c r="E171">
        <v>1</v>
      </c>
      <c r="F171">
        <v>0</v>
      </c>
      <c r="G17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table-SWOT</vt:lpstr>
      <vt:lpstr>table-review</vt:lpstr>
      <vt:lpstr>calculation</vt:lpstr>
      <vt:lpstr>EDA-calculation</vt:lpstr>
      <vt:lpstr>database-main</vt:lpstr>
      <vt:lpstr>database-trend</vt:lpstr>
      <vt:lpstr>database-aspect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2024-12-10T10:13:31Z</dcterms:modified>
</cp:coreProperties>
</file>