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Baha Tegar\Desktop\aspect-based-sentiment-analysis-demo1\template-dashboard\"/>
    </mc:Choice>
  </mc:AlternateContent>
  <xr:revisionPtr revIDLastSave="0" documentId="13_ncr:1_{0662DA83-5CCC-46E4-B163-DC743ACDDABF}" xr6:coauthVersionLast="47" xr6:coauthVersionMax="47" xr10:uidLastSave="{00000000-0000-0000-0000-000000000000}"/>
  <bookViews>
    <workbookView xWindow="-108" yWindow="-108" windowWidth="23256" windowHeight="12456" xr2:uid="{AAD90965-60D7-4A0B-9720-10EF26B7A504}"/>
  </bookViews>
  <sheets>
    <sheet name="dashboard" sheetId="1" r:id="rId1"/>
    <sheet name="table-SWOT" sheetId="7" r:id="rId2"/>
    <sheet name="table-review" sheetId="3" r:id="rId3"/>
    <sheet name="calculation" sheetId="4" r:id="rId4"/>
    <sheet name="EDA-calculation" sheetId="10" r:id="rId5"/>
    <sheet name="database-main" sheetId="2" r:id="rId6"/>
    <sheet name="database-trend" sheetId="9" r:id="rId7"/>
    <sheet name="database-aspect" sheetId="8" r:id="rId8"/>
  </sheets>
  <definedNames>
    <definedName name="FetchingCondiment">_xlfn._xlws.FILTER(TableCondiments[[review_id]:[aspect_sentiment]],(TableCondiments[review_time]&lt;=calculation!$D$8)*(TableCondiments[review_time]&gt;=calculation!$D$7)*(TableCondiments[topic]=INDEX(calculation!$C$22:$C$28,calculation!$D$3)))</definedName>
    <definedName name="FetchingExperience">_xlfn._xlws.FILTER(TableExperience[[review_id]:[aspect_sentiment]],(TableExperience[review_time]&lt;=calculation!$D$8)*(TableExperience[review_time]&gt;=calculation!$D$7)*(TableExperience[topic]=INDEX(calculation!$C$22:$C$28,calculation!$D$3)))</definedName>
    <definedName name="FetchingFood">_xlfn._xlws.FILTER(TableFood[[review_id]:[aspect_sentiment]],(TableFood[review_time]&lt;=calculation!$D$8)*(TableFood[review_time]&gt;=calculation!$D$7)*(TableFood[topic]=INDEX(calculation!$C$22:$C$28,calculation!$D$3)))</definedName>
    <definedName name="FetchingMiscellaneous">_xlfn._xlws.FILTER(TableMiscellaneous[[review_id]:[aspect_sentiment]],(TableMiscellaneous[review_time]&lt;=calculation!$D$8)*(TableMiscellaneous[review_time]&gt;=calculation!$D$7)*(TableMiscellaneous[topic]=INDEX(calculation!$C$22:$C$28,calculation!$D$3)))</definedName>
    <definedName name="FetchingPackage">_xlfn._xlws.FILTER(TablePackaging[[review_id]:[aspect_sentiment]],(TablePackaging[review_time]&lt;=calculation!$D$8)*(TablePackaging[review_time]&gt;=calculation!$D$7)*(TablePackaging[topic]=INDEX(calculation!$C$22:$C$28,calculation!$D$3)))</definedName>
    <definedName name="FetchingPricing">_xlfn._xlws.FILTER(TablePrice[[review_id]:[aspect_sentiment]],(TablePrice[review_time]&lt;=calculation!$D$8)*(TablePrice[review_time]&gt;=calculation!$D$7)*(TablePrice[topic]=INDEX(calculation!$C$22:$C$28,calculation!$D$3)))</definedName>
    <definedName name="FetchingService">_xlfn._xlws.FILTER(TableService[[review_id]:[aspect_sentiment]],(TableService[review_time]&lt;=calculation!$D$8)*(TableService[review_time]&gt;=calculation!$D$7)*(TableService[topic]=INDEX(calculation!$C$22:$C$28,calculation!$D$3)))</definedName>
  </definedName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10" l="1" a="1"/>
  <c r="H3" i="10" s="1"/>
  <c r="H6" i="10" a="1"/>
  <c r="H6" i="10" s="1"/>
  <c r="J6" i="10" s="1"/>
  <c r="H7" i="10" a="1"/>
  <c r="H7" i="10" s="1"/>
  <c r="J7" i="10" s="1"/>
  <c r="H8" i="10" a="1"/>
  <c r="H8" i="10" s="1"/>
  <c r="J8" i="10" s="1"/>
  <c r="H9" i="10" a="1"/>
  <c r="H9" i="10" s="1"/>
  <c r="J9" i="10" s="1"/>
  <c r="H10" i="10" a="1"/>
  <c r="H10" i="10" s="1"/>
  <c r="J10" i="10" s="1"/>
  <c r="H11" i="10" a="1"/>
  <c r="H11" i="10" s="1"/>
  <c r="J11" i="10" s="1"/>
  <c r="H12" i="10" a="1"/>
  <c r="H12" i="10" s="1"/>
  <c r="J12" i="10" s="1"/>
  <c r="H13" i="10" a="1"/>
  <c r="H13" i="10" s="1"/>
  <c r="I13" i="10" s="1"/>
  <c r="H14" i="10" a="1"/>
  <c r="H14" i="10" s="1"/>
  <c r="J14" i="10" s="1"/>
  <c r="H15" i="10" a="1"/>
  <c r="H15" i="10" s="1"/>
  <c r="J15" i="10" s="1"/>
  <c r="H16" i="10" a="1"/>
  <c r="H16" i="10" s="1"/>
  <c r="I16" i="10" s="1"/>
  <c r="H5" i="10" a="1"/>
  <c r="H5" i="10" s="1"/>
  <c r="J5" i="10" s="1"/>
  <c r="B6" i="10"/>
  <c r="B5" i="10"/>
  <c r="A6" i="3" a="1"/>
  <c r="A6" i="3" s="1"/>
  <c r="D6" i="4"/>
  <c r="D8" i="4" s="1"/>
  <c r="D5" i="4"/>
  <c r="D7" i="4" s="1"/>
  <c r="BK15" i="4"/>
  <c r="BV70" i="4"/>
  <c r="BV71" i="4"/>
  <c r="BV72" i="4"/>
  <c r="BV73" i="4"/>
  <c r="BV74" i="4"/>
  <c r="BV75" i="4"/>
  <c r="BV76" i="4"/>
  <c r="BV77" i="4"/>
  <c r="BV78" i="4"/>
  <c r="BV79" i="4"/>
  <c r="BV80" i="4"/>
  <c r="BV69" i="4"/>
  <c r="BV81" i="4"/>
  <c r="BV82" i="4"/>
  <c r="BV83" i="4"/>
  <c r="BV84" i="4"/>
  <c r="BV85" i="4"/>
  <c r="BV86" i="4"/>
  <c r="BV87" i="4"/>
  <c r="BV88" i="4"/>
  <c r="BV89" i="4"/>
  <c r="BV90" i="4"/>
  <c r="BV91" i="4"/>
  <c r="BV92" i="4"/>
  <c r="BV93" i="4"/>
  <c r="BV94" i="4"/>
  <c r="BV95" i="4"/>
  <c r="BV96" i="4"/>
  <c r="BV97" i="4"/>
  <c r="BV98" i="4"/>
  <c r="BV68" i="4"/>
  <c r="BQ67" i="4"/>
  <c r="K14" i="10" l="1"/>
  <c r="K13" i="10"/>
  <c r="K15" i="10"/>
  <c r="L16" i="10"/>
  <c r="M16" i="10" s="1"/>
  <c r="L15" i="10"/>
  <c r="M15" i="10" s="1"/>
  <c r="K5" i="10"/>
  <c r="K16" i="10"/>
  <c r="L14" i="10"/>
  <c r="M14" i="10" s="1"/>
  <c r="L5" i="10"/>
  <c r="M5" i="10" s="1"/>
  <c r="L13" i="10"/>
  <c r="M13" i="10" s="1"/>
  <c r="K11" i="10"/>
  <c r="L11" i="10"/>
  <c r="M11" i="10" s="1"/>
  <c r="K10" i="10"/>
  <c r="L10" i="10"/>
  <c r="M10" i="10" s="1"/>
  <c r="K12" i="10"/>
  <c r="I5" i="10"/>
  <c r="K9" i="10"/>
  <c r="L9" i="10"/>
  <c r="M9" i="10" s="1"/>
  <c r="L12" i="10"/>
  <c r="M12" i="10" s="1"/>
  <c r="I10" i="10"/>
  <c r="K8" i="10"/>
  <c r="L8" i="10"/>
  <c r="M8" i="10" s="1"/>
  <c r="K7" i="10"/>
  <c r="L7" i="10"/>
  <c r="M7" i="10" s="1"/>
  <c r="K6" i="10"/>
  <c r="L6" i="10"/>
  <c r="M6" i="10" s="1"/>
  <c r="J16" i="10"/>
  <c r="I15" i="10"/>
  <c r="I14" i="10"/>
  <c r="J13" i="10"/>
  <c r="I12" i="10"/>
  <c r="I11" i="10"/>
  <c r="I9" i="10"/>
  <c r="I8" i="10"/>
  <c r="I7" i="10"/>
  <c r="I6" i="10"/>
  <c r="J8" i="4" a="1"/>
  <c r="J8" i="4" s="1"/>
  <c r="H8" i="4"/>
  <c r="H7" i="4"/>
  <c r="BK12" i="4"/>
  <c r="BK13" i="4"/>
  <c r="BK14" i="4" l="1"/>
  <c r="BM50" i="4"/>
  <c r="BR50" i="4" s="1" a="1"/>
  <c r="BR50" i="4" s="1"/>
  <c r="BM62" i="4"/>
  <c r="BR62" i="4" s="1" a="1"/>
  <c r="BR62" i="4" s="1"/>
  <c r="BM61" i="4"/>
  <c r="BR61" i="4" s="1" a="1"/>
  <c r="BR61" i="4" s="1"/>
  <c r="BM49" i="4"/>
  <c r="BN49" i="4" s="1" a="1"/>
  <c r="BN49" i="4" s="1"/>
  <c r="BM48" i="4"/>
  <c r="BR48" i="4" s="1" a="1"/>
  <c r="BR48" i="4" s="1"/>
  <c r="BM56" i="4"/>
  <c r="BR56" i="4" s="1" a="1"/>
  <c r="BR56" i="4" s="1"/>
  <c r="BM54" i="4"/>
  <c r="BR54" i="4" s="1" a="1"/>
  <c r="BR54" i="4" s="1"/>
  <c r="BM53" i="4"/>
  <c r="BR53" i="4" s="1" a="1"/>
  <c r="BR53" i="4" s="1"/>
  <c r="BM47" i="4"/>
  <c r="BR47" i="4" s="1" a="1"/>
  <c r="BR47" i="4" s="1"/>
  <c r="BM52" i="4"/>
  <c r="BR52" i="4" s="1" a="1"/>
  <c r="BR52" i="4" s="1"/>
  <c r="BM51" i="4"/>
  <c r="BR51" i="4" s="1" a="1"/>
  <c r="BR51" i="4" s="1"/>
  <c r="BM46" i="4"/>
  <c r="BR46" i="4" s="1" a="1"/>
  <c r="BR46" i="4" s="1"/>
  <c r="BM45" i="4"/>
  <c r="BR45" i="4" s="1" a="1"/>
  <c r="BR45" i="4" s="1"/>
  <c r="BM55" i="4"/>
  <c r="BR55" i="4" s="1" a="1"/>
  <c r="BR55" i="4" s="1"/>
  <c r="BM36" i="4"/>
  <c r="BR36" i="4" s="1" a="1"/>
  <c r="BR36" i="4" s="1"/>
  <c r="BM37" i="4"/>
  <c r="BR37" i="4" s="1" a="1"/>
  <c r="BR37" i="4" s="1"/>
  <c r="BO50" i="4" l="1" a="1"/>
  <c r="BO50" i="4" s="1"/>
  <c r="BT50" i="4" s="1"/>
  <c r="BN50" i="4" a="1"/>
  <c r="BN50" i="4" s="1"/>
  <c r="BS50" i="4" s="1"/>
  <c r="BP50" i="4" a="1"/>
  <c r="BP50" i="4" s="1"/>
  <c r="BU50" i="4" s="1"/>
  <c r="BQ50" i="4" a="1"/>
  <c r="BQ50" i="4" s="1"/>
  <c r="BO48" i="4" a="1"/>
  <c r="BO48" i="4" s="1"/>
  <c r="BT48" i="4" s="1"/>
  <c r="BR49" i="4" a="1"/>
  <c r="BR49" i="4" s="1"/>
  <c r="BP37" i="4" a="1"/>
  <c r="BP37" i="4" s="1"/>
  <c r="BU37" i="4" s="1"/>
  <c r="BO37" i="4" a="1"/>
  <c r="BO37" i="4" s="1"/>
  <c r="BT37" i="4" s="1"/>
  <c r="BN36" i="4" a="1"/>
  <c r="BN36" i="4" s="1"/>
  <c r="BS36" i="4" s="1"/>
  <c r="BQ37" i="4" a="1"/>
  <c r="BQ37" i="4" s="1"/>
  <c r="BQ49" i="4" a="1"/>
  <c r="BQ49" i="4" s="1"/>
  <c r="BS49" i="4" s="1"/>
  <c r="BP49" i="4" a="1"/>
  <c r="BP49" i="4" s="1"/>
  <c r="BQ48" i="4" a="1"/>
  <c r="BQ48" i="4" s="1"/>
  <c r="BP48" i="4" a="1"/>
  <c r="BP48" i="4" s="1"/>
  <c r="BO49" i="4" a="1"/>
  <c r="BO49" i="4" s="1"/>
  <c r="BN48" i="4" a="1"/>
  <c r="BN48" i="4" s="1"/>
  <c r="BS48" i="4" s="1"/>
  <c r="BQ46" i="4" a="1"/>
  <c r="BQ46" i="4" s="1"/>
  <c r="BN46" i="4" a="1"/>
  <c r="BN46" i="4" s="1"/>
  <c r="BP46" i="4" a="1"/>
  <c r="BP46" i="4" s="1"/>
  <c r="BO46" i="4" a="1"/>
  <c r="BO46" i="4" s="1"/>
  <c r="BP36" i="4" a="1"/>
  <c r="BP36" i="4" s="1"/>
  <c r="BU36" i="4" s="1"/>
  <c r="BO36" i="4" a="1"/>
  <c r="BO36" i="4" s="1"/>
  <c r="BT36" i="4" s="1"/>
  <c r="BP56" i="4" a="1"/>
  <c r="BP56" i="4" s="1"/>
  <c r="BN56" i="4" a="1"/>
  <c r="BN56" i="4" s="1"/>
  <c r="BO56" i="4" a="1"/>
  <c r="BO56" i="4" s="1"/>
  <c r="BQ56" i="4" a="1"/>
  <c r="BQ56" i="4" s="1"/>
  <c r="BP52" i="4" a="1"/>
  <c r="BP52" i="4" s="1"/>
  <c r="BO52" i="4" a="1"/>
  <c r="BO52" i="4" s="1"/>
  <c r="BT52" i="4" s="1"/>
  <c r="BN52" i="4" a="1"/>
  <c r="BN52" i="4" s="1"/>
  <c r="BS52" i="4" s="1"/>
  <c r="BQ52" i="4" a="1"/>
  <c r="BQ52" i="4" s="1"/>
  <c r="BQ36" i="4" a="1"/>
  <c r="BQ36" i="4" s="1"/>
  <c r="BQ47" i="4" a="1"/>
  <c r="BQ47" i="4" s="1"/>
  <c r="BP47" i="4" a="1"/>
  <c r="BP47" i="4" s="1"/>
  <c r="BO47" i="4" a="1"/>
  <c r="BO47" i="4" s="1"/>
  <c r="BT47" i="4" s="1"/>
  <c r="BN47" i="4" a="1"/>
  <c r="BN47" i="4" s="1"/>
  <c r="BS47" i="4" s="1"/>
  <c r="BO62" i="4" a="1"/>
  <c r="BO62" i="4" s="1"/>
  <c r="BQ62" i="4" a="1"/>
  <c r="BQ62" i="4" s="1"/>
  <c r="BN62" i="4" a="1"/>
  <c r="BN62" i="4" s="1"/>
  <c r="BP62" i="4" a="1"/>
  <c r="BP62" i="4" s="1"/>
  <c r="BO55" i="4" a="1"/>
  <c r="BO55" i="4" s="1"/>
  <c r="BQ55" i="4" a="1"/>
  <c r="BQ55" i="4" s="1"/>
  <c r="BP55" i="4" a="1"/>
  <c r="BP55" i="4" s="1"/>
  <c r="BN55" i="4" a="1"/>
  <c r="BN55" i="4" s="1"/>
  <c r="BP45" i="4" a="1"/>
  <c r="BP45" i="4" s="1"/>
  <c r="BQ45" i="4" a="1"/>
  <c r="BQ45" i="4" s="1"/>
  <c r="BO45" i="4" a="1"/>
  <c r="BO45" i="4" s="1"/>
  <c r="BN45" i="4" a="1"/>
  <c r="BN45" i="4" s="1"/>
  <c r="BN61" i="4" a="1"/>
  <c r="BN61" i="4" s="1"/>
  <c r="BP61" i="4" a="1"/>
  <c r="BP61" i="4" s="1"/>
  <c r="BQ61" i="4" a="1"/>
  <c r="BQ61" i="4" s="1"/>
  <c r="BO61" i="4" a="1"/>
  <c r="BO61" i="4" s="1"/>
  <c r="BQ54" i="4" a="1"/>
  <c r="BQ54" i="4" s="1"/>
  <c r="BN54" i="4" a="1"/>
  <c r="BN54" i="4" s="1"/>
  <c r="BS54" i="4" s="1"/>
  <c r="BP54" i="4" a="1"/>
  <c r="BP54" i="4" s="1"/>
  <c r="BO54" i="4" a="1"/>
  <c r="BO54" i="4" s="1"/>
  <c r="BO51" i="4" a="1"/>
  <c r="BO51" i="4" s="1"/>
  <c r="BT51" i="4" s="1"/>
  <c r="BN51" i="4" a="1"/>
  <c r="BN51" i="4" s="1"/>
  <c r="BS51" i="4" s="1"/>
  <c r="BQ51" i="4" a="1"/>
  <c r="BQ51" i="4" s="1"/>
  <c r="BP51" i="4" a="1"/>
  <c r="BP51" i="4" s="1"/>
  <c r="BQ53" i="4" a="1"/>
  <c r="BQ53" i="4" s="1"/>
  <c r="BN53" i="4" a="1"/>
  <c r="BN53" i="4" s="1"/>
  <c r="BP53" i="4" a="1"/>
  <c r="BP53" i="4" s="1"/>
  <c r="BO53" i="4" a="1"/>
  <c r="BO53" i="4" s="1"/>
  <c r="BT53" i="4" s="1"/>
  <c r="BN37" i="4" a="1"/>
  <c r="BN37" i="4" s="1"/>
  <c r="BS37" i="4" s="1"/>
  <c r="BT56" i="4" l="1"/>
  <c r="BU62" i="4"/>
  <c r="BU61" i="4"/>
  <c r="BU51" i="4"/>
  <c r="BU47" i="4"/>
  <c r="BU54" i="4"/>
  <c r="BS53" i="4"/>
  <c r="BS61" i="4"/>
  <c r="BS56" i="4"/>
  <c r="BU55" i="4"/>
  <c r="BS46" i="4"/>
  <c r="BU53" i="4"/>
  <c r="BS62" i="4"/>
  <c r="BU48" i="4"/>
  <c r="BU49" i="4"/>
  <c r="BT46" i="4"/>
  <c r="BS55" i="4"/>
  <c r="BU46" i="4"/>
  <c r="BT55" i="4"/>
  <c r="BU52" i="4"/>
  <c r="BT49" i="4"/>
  <c r="BT61" i="4"/>
  <c r="BU56" i="4"/>
  <c r="BT62" i="4"/>
  <c r="BT54" i="4"/>
  <c r="BS45" i="4"/>
  <c r="BT45" i="4"/>
  <c r="BU45" i="4"/>
  <c r="BM8" i="4"/>
  <c r="BR8" i="4" s="1" a="1"/>
  <c r="BR8" i="4" s="1"/>
  <c r="BM12" i="4"/>
  <c r="BR12" i="4" s="1" a="1"/>
  <c r="BR12" i="4" s="1"/>
  <c r="BM13" i="4"/>
  <c r="BR13" i="4" s="1" a="1"/>
  <c r="BR13" i="4" s="1"/>
  <c r="BM14" i="4"/>
  <c r="BR14" i="4" s="1" a="1"/>
  <c r="BR14" i="4" s="1"/>
  <c r="BM15" i="4"/>
  <c r="BR15" i="4" s="1" a="1"/>
  <c r="BR15" i="4" s="1"/>
  <c r="BM17" i="4"/>
  <c r="BR17" i="4" s="1" a="1"/>
  <c r="BR17" i="4" s="1"/>
  <c r="BM18" i="4"/>
  <c r="BR18" i="4" s="1" a="1"/>
  <c r="BR18" i="4" s="1"/>
  <c r="BM19" i="4"/>
  <c r="BR19" i="4" s="1" a="1"/>
  <c r="BR19" i="4" s="1"/>
  <c r="BM24" i="4"/>
  <c r="BR24" i="4" s="1" a="1"/>
  <c r="BR24" i="4" s="1"/>
  <c r="BM25" i="4"/>
  <c r="BR25" i="4" s="1" a="1"/>
  <c r="BR25" i="4" s="1"/>
  <c r="BM26" i="4"/>
  <c r="BR26" i="4" s="1" a="1"/>
  <c r="BR26" i="4" s="1"/>
  <c r="BM27" i="4"/>
  <c r="BR27" i="4" s="1" a="1"/>
  <c r="BR27" i="4" s="1"/>
  <c r="BM28" i="4"/>
  <c r="BR28" i="4" s="1" a="1"/>
  <c r="BR28" i="4" s="1"/>
  <c r="BM29" i="4"/>
  <c r="BR29" i="4" s="1" a="1"/>
  <c r="BR29" i="4" s="1"/>
  <c r="BM30" i="4"/>
  <c r="BR30" i="4" s="1" a="1"/>
  <c r="BR30" i="4" s="1"/>
  <c r="BM31" i="4"/>
  <c r="BR31" i="4" s="1" a="1"/>
  <c r="BR31" i="4" s="1"/>
  <c r="BM7" i="4"/>
  <c r="BR7" i="4" l="1" a="1"/>
  <c r="BR7" i="4" s="1"/>
  <c r="BO25" i="4" a="1"/>
  <c r="BO25" i="4" s="1"/>
  <c r="BT25" i="4" s="1"/>
  <c r="BP25" i="4" a="1"/>
  <c r="BP25" i="4" s="1"/>
  <c r="BU25" i="4" s="1"/>
  <c r="BN25" i="4" a="1"/>
  <c r="BN25" i="4" s="1"/>
  <c r="BS25" i="4" s="1"/>
  <c r="BQ25" i="4" a="1"/>
  <c r="BQ25" i="4" s="1"/>
  <c r="BP18" i="4" a="1"/>
  <c r="BP18" i="4" s="1"/>
  <c r="BU18" i="4" s="1"/>
  <c r="BO18" i="4" a="1"/>
  <c r="BO18" i="4" s="1"/>
  <c r="BT18" i="4" s="1"/>
  <c r="BN18" i="4" a="1"/>
  <c r="BN18" i="4" s="1"/>
  <c r="BS18" i="4" s="1"/>
  <c r="BQ18" i="4" a="1"/>
  <c r="BQ18" i="4" s="1"/>
  <c r="BN7" i="4" a="1"/>
  <c r="BN7" i="4" s="1"/>
  <c r="BQ7" i="4" a="1"/>
  <c r="BQ7" i="4" s="1"/>
  <c r="BP7" i="4" a="1"/>
  <c r="BP7" i="4" s="1"/>
  <c r="BO7" i="4" a="1"/>
  <c r="BO7" i="4" s="1"/>
  <c r="BN31" i="4" a="1"/>
  <c r="BN31" i="4" s="1"/>
  <c r="BS31" i="4" s="1"/>
  <c r="BP31" i="4" a="1"/>
  <c r="BP31" i="4" s="1"/>
  <c r="BU31" i="4" s="1"/>
  <c r="BO31" i="4" a="1"/>
  <c r="BO31" i="4" s="1"/>
  <c r="BT31" i="4" s="1"/>
  <c r="BQ31" i="4" a="1"/>
  <c r="BQ31" i="4" s="1"/>
  <c r="BO12" i="4" a="1"/>
  <c r="BO12" i="4" s="1"/>
  <c r="BN12" i="4" a="1"/>
  <c r="BN12" i="4" s="1"/>
  <c r="BQ12" i="4" a="1"/>
  <c r="BQ12" i="4" s="1"/>
  <c r="BP12" i="4" a="1"/>
  <c r="BP12" i="4" s="1"/>
  <c r="BO26" i="4" a="1"/>
  <c r="BO26" i="4" s="1"/>
  <c r="BT26" i="4" s="1"/>
  <c r="BN26" i="4" a="1"/>
  <c r="BN26" i="4" s="1"/>
  <c r="BS26" i="4" s="1"/>
  <c r="BQ26" i="4" a="1"/>
  <c r="BQ26" i="4" s="1"/>
  <c r="BP26" i="4" a="1"/>
  <c r="BP26" i="4" s="1"/>
  <c r="BU26" i="4" s="1"/>
  <c r="BN24" i="4" a="1"/>
  <c r="BN24" i="4" s="1"/>
  <c r="BS24" i="4" s="1"/>
  <c r="BO24" i="4" a="1"/>
  <c r="BO24" i="4" s="1"/>
  <c r="BT24" i="4" s="1"/>
  <c r="BP24" i="4" a="1"/>
  <c r="BP24" i="4" s="1"/>
  <c r="BU24" i="4" s="1"/>
  <c r="BQ24" i="4" a="1"/>
  <c r="BQ24" i="4" s="1"/>
  <c r="BO19" i="4" a="1"/>
  <c r="BO19" i="4" s="1"/>
  <c r="BT19" i="4" s="1"/>
  <c r="BP19" i="4" a="1"/>
  <c r="BP19" i="4" s="1"/>
  <c r="BU19" i="4" s="1"/>
  <c r="BQ19" i="4" a="1"/>
  <c r="BQ19" i="4" s="1"/>
  <c r="BN19" i="4" a="1"/>
  <c r="BN19" i="4" s="1"/>
  <c r="BS19" i="4" s="1"/>
  <c r="BN17" i="4" a="1"/>
  <c r="BN17" i="4" s="1"/>
  <c r="BS17" i="4" s="1"/>
  <c r="BP17" i="4" a="1"/>
  <c r="BP17" i="4" s="1"/>
  <c r="BU17" i="4" s="1"/>
  <c r="BQ17" i="4" a="1"/>
  <c r="BQ17" i="4" s="1"/>
  <c r="BO17" i="4" a="1"/>
  <c r="BO17" i="4" s="1"/>
  <c r="BT17" i="4" s="1"/>
  <c r="BQ15" i="4" a="1"/>
  <c r="BQ15" i="4" s="1"/>
  <c r="BN15" i="4" a="1"/>
  <c r="BN15" i="4" s="1"/>
  <c r="BS15" i="4" s="1"/>
  <c r="BO15" i="4" a="1"/>
  <c r="BO15" i="4" s="1"/>
  <c r="BT15" i="4" s="1"/>
  <c r="BP15" i="4" a="1"/>
  <c r="BP15" i="4" s="1"/>
  <c r="BU15" i="4" s="1"/>
  <c r="BQ14" i="4" a="1"/>
  <c r="BQ14" i="4" s="1"/>
  <c r="BN14" i="4" a="1"/>
  <c r="BN14" i="4" s="1"/>
  <c r="BS14" i="4" s="1"/>
  <c r="BO14" i="4" a="1"/>
  <c r="BO14" i="4" s="1"/>
  <c r="BT14" i="4" s="1"/>
  <c r="BP14" i="4" a="1"/>
  <c r="BP14" i="4" s="1"/>
  <c r="BU14" i="4" s="1"/>
  <c r="BP30" i="4" a="1"/>
  <c r="BP30" i="4" s="1"/>
  <c r="BU30" i="4" s="1"/>
  <c r="BO30" i="4" a="1"/>
  <c r="BO30" i="4" s="1"/>
  <c r="BT30" i="4" s="1"/>
  <c r="BQ30" i="4" a="1"/>
  <c r="BQ30" i="4" s="1"/>
  <c r="BN30" i="4" a="1"/>
  <c r="BN30" i="4" s="1"/>
  <c r="BS30" i="4" s="1"/>
  <c r="BN13" i="4" a="1"/>
  <c r="BN13" i="4" s="1"/>
  <c r="BS13" i="4" s="1"/>
  <c r="BQ13" i="4" a="1"/>
  <c r="BQ13" i="4" s="1"/>
  <c r="BO13" i="4" a="1"/>
  <c r="BO13" i="4" s="1"/>
  <c r="BT13" i="4" s="1"/>
  <c r="BP13" i="4" a="1"/>
  <c r="BP13" i="4" s="1"/>
  <c r="BU13" i="4" s="1"/>
  <c r="BQ29" i="4" a="1"/>
  <c r="BQ29" i="4" s="1"/>
  <c r="BP29" i="4" a="1"/>
  <c r="BP29" i="4" s="1"/>
  <c r="BU29" i="4" s="1"/>
  <c r="BO29" i="4" a="1"/>
  <c r="BO29" i="4" s="1"/>
  <c r="BT29" i="4" s="1"/>
  <c r="BN29" i="4" a="1"/>
  <c r="BN29" i="4" s="1"/>
  <c r="BS29" i="4" s="1"/>
  <c r="BO28" i="4" a="1"/>
  <c r="BO28" i="4" s="1"/>
  <c r="BT28" i="4" s="1"/>
  <c r="BP28" i="4" a="1"/>
  <c r="BP28" i="4" s="1"/>
  <c r="BU28" i="4" s="1"/>
  <c r="BQ28" i="4" a="1"/>
  <c r="BQ28" i="4" s="1"/>
  <c r="BN28" i="4" a="1"/>
  <c r="BN28" i="4" s="1"/>
  <c r="BS28" i="4" s="1"/>
  <c r="BO8" i="4" a="1"/>
  <c r="BO8" i="4" s="1"/>
  <c r="BT8" i="4" s="1"/>
  <c r="BN8" i="4" a="1"/>
  <c r="BN8" i="4" s="1"/>
  <c r="BS8" i="4" s="1"/>
  <c r="BP8" i="4" a="1"/>
  <c r="BP8" i="4" s="1"/>
  <c r="BU8" i="4" s="1"/>
  <c r="BQ8" i="4" a="1"/>
  <c r="BQ8" i="4" s="1"/>
  <c r="BP27" i="4" a="1"/>
  <c r="BP27" i="4" s="1"/>
  <c r="BU27" i="4" s="1"/>
  <c r="BQ27" i="4" a="1"/>
  <c r="BQ27" i="4" s="1"/>
  <c r="BO27" i="4" a="1"/>
  <c r="BO27" i="4" s="1"/>
  <c r="BT27" i="4" s="1"/>
  <c r="BN27" i="4" a="1"/>
  <c r="BN27" i="4" s="1"/>
  <c r="BS27" i="4" s="1"/>
  <c r="BM16" i="4"/>
  <c r="BR16" i="4" s="1" a="1"/>
  <c r="BR16" i="4" s="1"/>
  <c r="BM35" i="4"/>
  <c r="BR35" i="4" s="1" a="1"/>
  <c r="BR35" i="4" s="1"/>
  <c r="BM23" i="4"/>
  <c r="BR23" i="4" s="1" a="1"/>
  <c r="BR23" i="4" s="1"/>
  <c r="BM11" i="4"/>
  <c r="BR11" i="4" s="1" a="1"/>
  <c r="BR11" i="4" s="1"/>
  <c r="BM34" i="4"/>
  <c r="BR34" i="4" s="1" a="1"/>
  <c r="BR34" i="4" s="1"/>
  <c r="BM22" i="4"/>
  <c r="BR22" i="4" s="1" a="1"/>
  <c r="BR22" i="4" s="1"/>
  <c r="BM10" i="4"/>
  <c r="BR10" i="4" s="1" a="1"/>
  <c r="BR10" i="4" s="1"/>
  <c r="BM33" i="4"/>
  <c r="BR33" i="4" s="1" a="1"/>
  <c r="BR33" i="4" s="1"/>
  <c r="BM21" i="4"/>
  <c r="BR21" i="4" s="1" a="1"/>
  <c r="BR21" i="4" s="1"/>
  <c r="BM9" i="4"/>
  <c r="BR9" i="4" s="1" a="1"/>
  <c r="BR9" i="4" s="1"/>
  <c r="BM32" i="4"/>
  <c r="BR32" i="4" s="1" a="1"/>
  <c r="BR32" i="4" s="1"/>
  <c r="BM20" i="4"/>
  <c r="BR20" i="4" s="1" a="1"/>
  <c r="BR20" i="4" s="1"/>
  <c r="AW9" i="4"/>
  <c r="BA9" i="4" s="1"/>
  <c r="AW10" i="4"/>
  <c r="BA10" i="4" s="1"/>
  <c r="AW11" i="4"/>
  <c r="BA11" i="4" s="1"/>
  <c r="AW12" i="4"/>
  <c r="BA12" i="4" s="1"/>
  <c r="AW13" i="4"/>
  <c r="AW14" i="4"/>
  <c r="BA14" i="4" s="1"/>
  <c r="AW8" i="4"/>
  <c r="BA8" i="4" s="1"/>
  <c r="BT12" i="4" l="1"/>
  <c r="BS12" i="4"/>
  <c r="BU12" i="4"/>
  <c r="AX13" i="4"/>
  <c r="BD13" i="4" s="1"/>
  <c r="BA13" i="4"/>
  <c r="BT7" i="4"/>
  <c r="BS7" i="4"/>
  <c r="BL68" i="4" a="1"/>
  <c r="BL68" i="4" s="1"/>
  <c r="BU7" i="4"/>
  <c r="BP22" i="4" a="1"/>
  <c r="BP22" i="4" s="1"/>
  <c r="BU22" i="4" s="1"/>
  <c r="BO22" i="4" a="1"/>
  <c r="BO22" i="4" s="1"/>
  <c r="BT22" i="4" s="1"/>
  <c r="BN22" i="4" a="1"/>
  <c r="BN22" i="4" s="1"/>
  <c r="BS22" i="4" s="1"/>
  <c r="BQ22" i="4" a="1"/>
  <c r="BQ22" i="4" s="1"/>
  <c r="BO34" i="4" a="1"/>
  <c r="BO34" i="4" s="1"/>
  <c r="BT34" i="4" s="1"/>
  <c r="BQ34" i="4" a="1"/>
  <c r="BQ34" i="4" s="1"/>
  <c r="BN34" i="4" a="1"/>
  <c r="BN34" i="4" s="1"/>
  <c r="BS34" i="4" s="1"/>
  <c r="BP34" i="4" a="1"/>
  <c r="BP34" i="4" s="1"/>
  <c r="BU34" i="4" s="1"/>
  <c r="BP11" i="4" a="1"/>
  <c r="BP11" i="4" s="1"/>
  <c r="BU11" i="4" s="1"/>
  <c r="BQ11" i="4" a="1"/>
  <c r="BQ11" i="4" s="1"/>
  <c r="BN11" i="4" a="1"/>
  <c r="BN11" i="4" s="1"/>
  <c r="BS11" i="4" s="1"/>
  <c r="BO11" i="4" a="1"/>
  <c r="BO11" i="4" s="1"/>
  <c r="BT11" i="4" s="1"/>
  <c r="BP35" i="4" a="1"/>
  <c r="BP35" i="4" s="1"/>
  <c r="BU35" i="4" s="1"/>
  <c r="BO35" i="4" a="1"/>
  <c r="BO35" i="4" s="1"/>
  <c r="BT35" i="4" s="1"/>
  <c r="BN35" i="4" a="1"/>
  <c r="BN35" i="4" s="1"/>
  <c r="BS35" i="4" s="1"/>
  <c r="BQ35" i="4" a="1"/>
  <c r="BQ35" i="4" s="1"/>
  <c r="BN16" i="4" a="1"/>
  <c r="BN16" i="4" s="1"/>
  <c r="BS16" i="4" s="1"/>
  <c r="BO16" i="4" a="1"/>
  <c r="BO16" i="4" s="1"/>
  <c r="BT16" i="4" s="1"/>
  <c r="BP16" i="4" a="1"/>
  <c r="BP16" i="4" s="1"/>
  <c r="BU16" i="4" s="1"/>
  <c r="BQ16" i="4" a="1"/>
  <c r="BQ16" i="4" s="1"/>
  <c r="BO21" i="4" a="1"/>
  <c r="BO21" i="4" s="1"/>
  <c r="BT21" i="4" s="1"/>
  <c r="BP21" i="4" a="1"/>
  <c r="BP21" i="4" s="1"/>
  <c r="BU21" i="4" s="1"/>
  <c r="BQ21" i="4" a="1"/>
  <c r="BQ21" i="4" s="1"/>
  <c r="BN21" i="4" a="1"/>
  <c r="BN21" i="4" s="1"/>
  <c r="BS21" i="4" s="1"/>
  <c r="BN33" i="4" a="1"/>
  <c r="BN33" i="4" s="1"/>
  <c r="BS33" i="4" s="1"/>
  <c r="BP33" i="4" a="1"/>
  <c r="BP33" i="4" s="1"/>
  <c r="BU33" i="4" s="1"/>
  <c r="BO33" i="4" a="1"/>
  <c r="BO33" i="4" s="1"/>
  <c r="BT33" i="4" s="1"/>
  <c r="BQ33" i="4" a="1"/>
  <c r="BQ33" i="4" s="1"/>
  <c r="BO23" i="4" a="1"/>
  <c r="BO23" i="4" s="1"/>
  <c r="BT23" i="4" s="1"/>
  <c r="BQ23" i="4" a="1"/>
  <c r="BQ23" i="4" s="1"/>
  <c r="BP23" i="4" a="1"/>
  <c r="BP23" i="4" s="1"/>
  <c r="BU23" i="4" s="1"/>
  <c r="BN23" i="4" a="1"/>
  <c r="BN23" i="4" s="1"/>
  <c r="BS23" i="4" s="1"/>
  <c r="BO20" i="4" a="1"/>
  <c r="BO20" i="4" s="1"/>
  <c r="BT20" i="4" s="1"/>
  <c r="BN20" i="4" a="1"/>
  <c r="BN20" i="4" s="1"/>
  <c r="BS20" i="4" s="1"/>
  <c r="BQ20" i="4" a="1"/>
  <c r="BQ20" i="4" s="1"/>
  <c r="BP20" i="4" a="1"/>
  <c r="BP20" i="4" s="1"/>
  <c r="BU20" i="4" s="1"/>
  <c r="BQ32" i="4" a="1"/>
  <c r="BQ32" i="4" s="1"/>
  <c r="BN32" i="4" a="1"/>
  <c r="BN32" i="4" s="1"/>
  <c r="BS32" i="4" s="1"/>
  <c r="BO32" i="4" a="1"/>
  <c r="BO32" i="4" s="1"/>
  <c r="BT32" i="4" s="1"/>
  <c r="BP32" i="4" a="1"/>
  <c r="BP32" i="4" s="1"/>
  <c r="BU32" i="4" s="1"/>
  <c r="BP9" i="4" a="1"/>
  <c r="BP9" i="4" s="1"/>
  <c r="BU9" i="4" s="1"/>
  <c r="BN9" i="4" a="1"/>
  <c r="BN9" i="4" s="1"/>
  <c r="BS9" i="4" s="1"/>
  <c r="BO9" i="4" a="1"/>
  <c r="BO9" i="4" s="1"/>
  <c r="BT9" i="4" s="1"/>
  <c r="BQ9" i="4" a="1"/>
  <c r="BQ9" i="4" s="1"/>
  <c r="BO10" i="4" a="1"/>
  <c r="BO10" i="4" s="1"/>
  <c r="BT10" i="4" s="1"/>
  <c r="BN10" i="4" a="1"/>
  <c r="BN10" i="4" s="1"/>
  <c r="BS10" i="4" s="1"/>
  <c r="BP10" i="4" a="1"/>
  <c r="BP10" i="4" s="1"/>
  <c r="BU10" i="4" s="1"/>
  <c r="BQ10" i="4" a="1"/>
  <c r="BQ10" i="4" s="1"/>
  <c r="AY9" i="4"/>
  <c r="BE9" i="4" s="1"/>
  <c r="AZ13" i="4"/>
  <c r="BF13" i="4" s="1"/>
  <c r="X8" i="4" a="1"/>
  <c r="AA8" i="4" s="1" a="1"/>
  <c r="AA8" i="4" s="1"/>
  <c r="AY10" i="4"/>
  <c r="BE10" i="4" s="1"/>
  <c r="AZ14" i="4"/>
  <c r="BF14" i="4" s="1"/>
  <c r="AY8" i="4"/>
  <c r="BE8" i="4" s="1"/>
  <c r="AY13" i="4"/>
  <c r="BE13" i="4" s="1"/>
  <c r="AY12" i="4"/>
  <c r="BE12" i="4" s="1"/>
  <c r="AY11" i="4"/>
  <c r="BE11" i="4" s="1"/>
  <c r="AX14" i="4"/>
  <c r="BD14" i="4" s="1"/>
  <c r="AX10" i="4"/>
  <c r="BD10" i="4" s="1"/>
  <c r="AY14" i="4"/>
  <c r="BE14" i="4" s="1"/>
  <c r="AZ12" i="4"/>
  <c r="BF12" i="4" s="1"/>
  <c r="AZ8" i="4"/>
  <c r="BF8" i="4" s="1"/>
  <c r="AZ10" i="4"/>
  <c r="BF10" i="4" s="1"/>
  <c r="AZ11" i="4"/>
  <c r="BF11" i="4" s="1"/>
  <c r="AZ9" i="4"/>
  <c r="BF9" i="4" s="1"/>
  <c r="AX12" i="4"/>
  <c r="BD12" i="4" s="1"/>
  <c r="AX9" i="4"/>
  <c r="BD9" i="4" s="1"/>
  <c r="AX11" i="4"/>
  <c r="BD11" i="4" s="1"/>
  <c r="AX8" i="4"/>
  <c r="BD8" i="4" s="1"/>
  <c r="BS68" i="4" l="1" a="1"/>
  <c r="BS68" i="4" s="1"/>
  <c r="BT68" i="4" a="1"/>
  <c r="BT68" i="4" s="1"/>
  <c r="BR68" i="4" a="1"/>
  <c r="BR68" i="4" s="1"/>
  <c r="BO68" i="4" a="1"/>
  <c r="BO68" i="4" s="1"/>
  <c r="BP68" i="4" a="1"/>
  <c r="BP68" i="4" s="1"/>
  <c r="BM68" i="4" a="1"/>
  <c r="BM68" i="4" s="1"/>
  <c r="BQ68" i="4" a="1"/>
  <c r="BQ68" i="4" s="1"/>
  <c r="BN68" i="4" a="1"/>
  <c r="BN68" i="4" s="1"/>
  <c r="BU68" i="4" a="1"/>
  <c r="BU68" i="4" s="1"/>
  <c r="X8" i="4"/>
  <c r="AE8" i="4" l="1"/>
  <c r="AF8" i="4" s="1"/>
  <c r="AB8" i="4"/>
  <c r="AC8" i="4"/>
  <c r="AD8" i="4"/>
  <c r="AD10" i="4" l="1"/>
  <c r="AB10" i="4"/>
  <c r="AE10" i="4"/>
  <c r="AC10" i="4"/>
  <c r="AE11" i="4"/>
  <c r="AB11" i="4"/>
  <c r="AD11" i="4"/>
  <c r="AC11" i="4"/>
  <c r="AB12" i="4"/>
  <c r="AC12" i="4"/>
  <c r="AE12" i="4"/>
  <c r="AD12" i="4"/>
  <c r="AE13" i="4"/>
  <c r="AD13" i="4"/>
  <c r="AB13" i="4"/>
  <c r="AC13" i="4"/>
  <c r="AD14" i="4"/>
  <c r="AC14" i="4"/>
  <c r="AE14" i="4"/>
  <c r="AB14" i="4"/>
  <c r="AC15" i="4"/>
  <c r="AB15" i="4"/>
  <c r="AE15" i="4"/>
  <c r="AD15" i="4"/>
  <c r="AE16" i="4"/>
  <c r="AB16" i="4"/>
  <c r="AD16" i="4"/>
  <c r="AC16" i="4"/>
  <c r="AD19" i="4"/>
  <c r="AE19" i="4"/>
  <c r="AB19" i="4"/>
  <c r="AC19" i="4"/>
  <c r="AD18" i="4"/>
  <c r="AC18" i="4"/>
  <c r="AB18" i="4"/>
  <c r="AE18" i="4"/>
  <c r="AB17" i="4"/>
  <c r="AD17" i="4"/>
  <c r="AE17" i="4"/>
  <c r="AC17" i="4"/>
  <c r="AC9" i="4"/>
  <c r="AE9" i="4"/>
  <c r="AF9" i="4" s="1"/>
  <c r="AD9" i="4"/>
  <c r="AB9" i="4"/>
  <c r="AF18" i="4" l="1"/>
  <c r="AF15" i="4"/>
  <c r="AF12" i="4"/>
  <c r="AF14" i="4"/>
  <c r="AF19" i="4"/>
  <c r="AF17" i="4"/>
  <c r="AF10" i="4"/>
  <c r="AF11" i="4"/>
  <c r="AF16" i="4"/>
  <c r="AF13" i="4"/>
  <c r="AH20" i="4" l="1"/>
  <c r="AL20" i="4" s="1"/>
  <c r="AH28" i="4"/>
  <c r="AL28" i="4" s="1"/>
  <c r="AH8" i="4"/>
  <c r="AM8" i="4" s="1"/>
  <c r="AH64" i="4"/>
  <c r="AK64" i="4" s="1"/>
  <c r="AH17" i="4"/>
  <c r="AM17" i="4" s="1"/>
  <c r="AH69" i="4"/>
  <c r="AK69" i="4" s="1"/>
  <c r="AH60" i="4"/>
  <c r="AK60" i="4" s="1"/>
  <c r="AH40" i="4"/>
  <c r="AJ40" i="4" s="1"/>
  <c r="AH13" i="4"/>
  <c r="AK13" i="4" s="1"/>
  <c r="AH61" i="4"/>
  <c r="AK61" i="4" s="1"/>
  <c r="AH77" i="4"/>
  <c r="AM77" i="4" s="1"/>
  <c r="AH46" i="4"/>
  <c r="AJ46" i="4" s="1"/>
  <c r="AH71" i="4"/>
  <c r="AI71" i="4" s="1"/>
  <c r="AH49" i="4"/>
  <c r="AM49" i="4" s="1"/>
  <c r="AH72" i="4"/>
  <c r="AM72" i="4" s="1"/>
  <c r="AH24" i="4"/>
  <c r="AM24" i="4" s="1"/>
  <c r="AH11" i="4"/>
  <c r="AL11" i="4" s="1"/>
  <c r="AH35" i="4"/>
  <c r="AI35" i="4" s="1"/>
  <c r="AH15" i="4"/>
  <c r="AI15" i="4" s="1"/>
  <c r="AH54" i="4"/>
  <c r="AM54" i="4" s="1"/>
  <c r="AH70" i="4"/>
  <c r="AJ70" i="4" s="1"/>
  <c r="AH29" i="4"/>
  <c r="AJ29" i="4" s="1"/>
  <c r="AH26" i="4"/>
  <c r="AM26" i="4" s="1"/>
  <c r="AH19" i="4"/>
  <c r="AJ19" i="4" s="1"/>
  <c r="AH38" i="4"/>
  <c r="AI38" i="4" s="1"/>
  <c r="AH16" i="4"/>
  <c r="AK16" i="4" s="1"/>
  <c r="AH45" i="4"/>
  <c r="AI45" i="4" s="1"/>
  <c r="AH63" i="4"/>
  <c r="AJ63" i="4" s="1"/>
  <c r="AH55" i="4"/>
  <c r="AJ55" i="4" s="1"/>
  <c r="AH32" i="4"/>
  <c r="AL32" i="4" s="1"/>
  <c r="AH41" i="4"/>
  <c r="AJ41" i="4" s="1"/>
  <c r="AH56" i="4"/>
  <c r="AL56" i="4" s="1"/>
  <c r="AH25" i="4"/>
  <c r="AK25" i="4" s="1"/>
  <c r="AH18" i="4"/>
  <c r="AL18" i="4" s="1"/>
  <c r="AH44" i="4"/>
  <c r="AL44" i="4" s="1"/>
  <c r="AH12" i="4"/>
  <c r="AI12" i="4" s="1"/>
  <c r="AQ12" i="4" s="1" a="1"/>
  <c r="AQ12" i="4" s="1"/>
  <c r="AH52" i="4"/>
  <c r="AM52" i="4" s="1"/>
  <c r="AH62" i="4"/>
  <c r="AK62" i="4" s="1"/>
  <c r="AH42" i="4"/>
  <c r="AL42" i="4" s="1"/>
  <c r="AH65" i="4"/>
  <c r="AM65" i="4" s="1"/>
  <c r="AH53" i="4"/>
  <c r="AL53" i="4" s="1"/>
  <c r="AH74" i="4"/>
  <c r="AI74" i="4" s="1"/>
  <c r="AH66" i="4"/>
  <c r="AM66" i="4" s="1"/>
  <c r="AH68" i="4"/>
  <c r="AL68" i="4" s="1"/>
  <c r="AH76" i="4"/>
  <c r="AI76" i="4" s="1"/>
  <c r="AH39" i="4"/>
  <c r="AL39" i="4" s="1"/>
  <c r="AH31" i="4"/>
  <c r="AM31" i="4" s="1"/>
  <c r="AH67" i="4"/>
  <c r="AI67" i="4" s="1"/>
  <c r="AH10" i="4"/>
  <c r="AJ10" i="4" s="1"/>
  <c r="AH47" i="4"/>
  <c r="AK47" i="4" s="1"/>
  <c r="AH73" i="4"/>
  <c r="AK73" i="4" s="1"/>
  <c r="AH36" i="4"/>
  <c r="AH22" i="4"/>
  <c r="AH33" i="4"/>
  <c r="AH48" i="4"/>
  <c r="AH27" i="4"/>
  <c r="AH30" i="4"/>
  <c r="AH23" i="4"/>
  <c r="AH14" i="4"/>
  <c r="AH59" i="4"/>
  <c r="AH43" i="4"/>
  <c r="AH57" i="4"/>
  <c r="AH58" i="4"/>
  <c r="AH75" i="4"/>
  <c r="AH50" i="4"/>
  <c r="AH37" i="4"/>
  <c r="AH51" i="4"/>
  <c r="AH34" i="4"/>
  <c r="AH9" i="4"/>
  <c r="AH21" i="4"/>
  <c r="AI65" i="4" l="1"/>
  <c r="AM63" i="4"/>
  <c r="AJ65" i="4"/>
  <c r="AM32" i="4"/>
  <c r="AS13" i="4" a="1"/>
  <c r="AS13" i="4" s="1"/>
  <c r="AI16" i="4"/>
  <c r="AM28" i="4"/>
  <c r="AL16" i="4"/>
  <c r="AM53" i="4"/>
  <c r="AI28" i="4"/>
  <c r="AK53" i="4"/>
  <c r="AL24" i="4"/>
  <c r="AI11" i="4"/>
  <c r="AI24" i="4"/>
  <c r="AM64" i="4"/>
  <c r="AM55" i="4"/>
  <c r="AK63" i="4"/>
  <c r="AL64" i="4"/>
  <c r="AK24" i="4"/>
  <c r="AJ64" i="4"/>
  <c r="AJ17" i="4"/>
  <c r="AI64" i="4"/>
  <c r="AK17" i="4"/>
  <c r="AI17" i="4"/>
  <c r="AQ17" i="4" s="1" a="1"/>
  <c r="AQ17" i="4" s="1"/>
  <c r="AL65" i="4"/>
  <c r="AK11" i="4"/>
  <c r="AJ24" i="4"/>
  <c r="AK28" i="4"/>
  <c r="AJ73" i="4"/>
  <c r="AM45" i="4"/>
  <c r="AJ62" i="4"/>
  <c r="AL73" i="4"/>
  <c r="AJ49" i="4"/>
  <c r="AI47" i="4"/>
  <c r="AL62" i="4"/>
  <c r="AK72" i="4"/>
  <c r="AI49" i="4"/>
  <c r="AL47" i="4"/>
  <c r="AM62" i="4"/>
  <c r="AJ72" i="4"/>
  <c r="AK49" i="4"/>
  <c r="AJ47" i="4"/>
  <c r="AI20" i="4"/>
  <c r="AK45" i="4"/>
  <c r="AM16" i="4"/>
  <c r="AJ45" i="4"/>
  <c r="AI62" i="4"/>
  <c r="AM47" i="4"/>
  <c r="AK20" i="4"/>
  <c r="AL8" i="4"/>
  <c r="AT8" i="4" s="1" a="1"/>
  <c r="AT8" i="4" s="1"/>
  <c r="AL60" i="4"/>
  <c r="AJ20" i="4"/>
  <c r="AJ16" i="4"/>
  <c r="AR16" i="4" s="1" a="1"/>
  <c r="AR16" i="4" s="1"/>
  <c r="AJ8" i="4"/>
  <c r="AK15" i="4"/>
  <c r="AM20" i="4"/>
  <c r="AU17" i="4" s="1" a="1"/>
  <c r="AU17" i="4" s="1"/>
  <c r="AL17" i="4"/>
  <c r="AT17" i="4" s="1" a="1"/>
  <c r="AT17" i="4" s="1"/>
  <c r="AJ28" i="4"/>
  <c r="AL55" i="4"/>
  <c r="AL45" i="4"/>
  <c r="AI72" i="4"/>
  <c r="AJ35" i="4"/>
  <c r="AL72" i="4"/>
  <c r="AL49" i="4"/>
  <c r="AI53" i="4"/>
  <c r="AM11" i="4"/>
  <c r="AI42" i="4"/>
  <c r="AJ53" i="4"/>
  <c r="AJ11" i="4"/>
  <c r="AI73" i="4"/>
  <c r="AI8" i="4"/>
  <c r="AQ8" i="4" s="1" a="1"/>
  <c r="AQ8" i="4" s="1"/>
  <c r="AM73" i="4"/>
  <c r="AJ32" i="4"/>
  <c r="AM35" i="4"/>
  <c r="AK8" i="4"/>
  <c r="AS8" i="4" s="1" a="1"/>
  <c r="AS8" i="4" s="1"/>
  <c r="AI32" i="4"/>
  <c r="AJ42" i="4"/>
  <c r="AL35" i="4"/>
  <c r="AK32" i="4"/>
  <c r="AK42" i="4"/>
  <c r="AM69" i="4"/>
  <c r="AJ68" i="4"/>
  <c r="AJ26" i="4"/>
  <c r="AI26" i="4"/>
  <c r="AK68" i="4"/>
  <c r="AL40" i="4"/>
  <c r="AL54" i="4"/>
  <c r="AM13" i="4"/>
  <c r="AM40" i="4"/>
  <c r="AK40" i="4"/>
  <c r="AL12" i="4"/>
  <c r="AK54" i="4"/>
  <c r="AJ60" i="4"/>
  <c r="AK77" i="4"/>
  <c r="AM60" i="4"/>
  <c r="AM19" i="4"/>
  <c r="AL19" i="4"/>
  <c r="AI61" i="4"/>
  <c r="AK12" i="4"/>
  <c r="AJ54" i="4"/>
  <c r="AJ15" i="4"/>
  <c r="AI18" i="4"/>
  <c r="AQ15" i="4" s="1" a="1"/>
  <c r="AQ15" i="4" s="1"/>
  <c r="AM71" i="4"/>
  <c r="AI54" i="4"/>
  <c r="AL15" i="4"/>
  <c r="AT15" i="4" s="1" a="1"/>
  <c r="AT15" i="4" s="1"/>
  <c r="AJ77" i="4"/>
  <c r="AK70" i="4"/>
  <c r="AM15" i="4"/>
  <c r="AJ69" i="4"/>
  <c r="AM67" i="4"/>
  <c r="AL67" i="4"/>
  <c r="AK67" i="4"/>
  <c r="AJ38" i="4"/>
  <c r="AL61" i="4"/>
  <c r="AL13" i="4"/>
  <c r="AJ67" i="4"/>
  <c r="AK52" i="4"/>
  <c r="AI10" i="4"/>
  <c r="AL46" i="4"/>
  <c r="AM38" i="4"/>
  <c r="AK46" i="4"/>
  <c r="AL38" i="4"/>
  <c r="AJ61" i="4"/>
  <c r="AJ13" i="4"/>
  <c r="AR13" i="4" s="1" a="1"/>
  <c r="AR13" i="4" s="1"/>
  <c r="AL76" i="4"/>
  <c r="AK29" i="4"/>
  <c r="AJ52" i="4"/>
  <c r="AM10" i="4"/>
  <c r="AI46" i="4"/>
  <c r="AM70" i="4"/>
  <c r="AK38" i="4"/>
  <c r="AK71" i="4"/>
  <c r="AI13" i="4"/>
  <c r="AQ13" i="4" s="1" a="1"/>
  <c r="AQ13" i="4" s="1"/>
  <c r="AL63" i="4"/>
  <c r="AK35" i="4"/>
  <c r="AM76" i="4"/>
  <c r="AI29" i="4"/>
  <c r="AI52" i="4"/>
  <c r="AL69" i="4"/>
  <c r="AJ12" i="4"/>
  <c r="AR12" i="4" s="1" a="1"/>
  <c r="AR12" i="4" s="1"/>
  <c r="AL41" i="4"/>
  <c r="AM61" i="4"/>
  <c r="AK41" i="4"/>
  <c r="AM46" i="4"/>
  <c r="AL29" i="4"/>
  <c r="AL52" i="4"/>
  <c r="AJ76" i="4"/>
  <c r="AM29" i="4"/>
  <c r="AL10" i="4"/>
  <c r="AI19" i="4"/>
  <c r="AK26" i="4"/>
  <c r="AM12" i="4"/>
  <c r="AI60" i="4"/>
  <c r="AI40" i="4"/>
  <c r="AI69" i="4"/>
  <c r="AK10" i="4"/>
  <c r="AS10" i="4" s="1" a="1"/>
  <c r="AS10" i="4" s="1"/>
  <c r="AK19" i="4"/>
  <c r="AS16" i="4" s="1" a="1"/>
  <c r="AS16" i="4" s="1"/>
  <c r="AL70" i="4"/>
  <c r="AL71" i="4"/>
  <c r="AL77" i="4"/>
  <c r="AL26" i="4"/>
  <c r="AI70" i="4"/>
  <c r="AJ71" i="4"/>
  <c r="AI77" i="4"/>
  <c r="AJ18" i="4"/>
  <c r="AK18" i="4"/>
  <c r="AI68" i="4"/>
  <c r="AK56" i="4"/>
  <c r="AM18" i="4"/>
  <c r="AM68" i="4"/>
  <c r="AJ56" i="4"/>
  <c r="AI39" i="4"/>
  <c r="AK31" i="4"/>
  <c r="AJ39" i="4"/>
  <c r="AM56" i="4"/>
  <c r="AL25" i="4"/>
  <c r="AL31" i="4"/>
  <c r="AJ66" i="4"/>
  <c r="AK74" i="4"/>
  <c r="AI44" i="4"/>
  <c r="AI56" i="4"/>
  <c r="AM39" i="4"/>
  <c r="AM25" i="4"/>
  <c r="AI31" i="4"/>
  <c r="AJ44" i="4"/>
  <c r="AK44" i="4"/>
  <c r="AI25" i="4"/>
  <c r="AM41" i="4"/>
  <c r="AK65" i="4"/>
  <c r="AI66" i="4"/>
  <c r="AM42" i="4"/>
  <c r="AI63" i="4"/>
  <c r="AL74" i="4"/>
  <c r="AM44" i="4"/>
  <c r="AK76" i="4"/>
  <c r="AK55" i="4"/>
  <c r="AJ25" i="4"/>
  <c r="AJ31" i="4"/>
  <c r="AL66" i="4"/>
  <c r="AM74" i="4"/>
  <c r="AK39" i="4"/>
  <c r="AI41" i="4"/>
  <c r="AK66" i="4"/>
  <c r="AJ74" i="4"/>
  <c r="AI55" i="4"/>
  <c r="AK21" i="4"/>
  <c r="AM21" i="4"/>
  <c r="AI21" i="4"/>
  <c r="AJ21" i="4"/>
  <c r="AL21" i="4"/>
  <c r="AL9" i="4"/>
  <c r="AT9" i="4" s="1" a="1"/>
  <c r="AT9" i="4" s="1"/>
  <c r="AM9" i="4"/>
  <c r="AU9" i="4" s="1" a="1"/>
  <c r="AU9" i="4" s="1"/>
  <c r="AI9" i="4"/>
  <c r="AQ9" i="4" s="1" a="1"/>
  <c r="AQ9" i="4" s="1"/>
  <c r="AJ9" i="4"/>
  <c r="AK9" i="4"/>
  <c r="AS9" i="4" s="1" a="1"/>
  <c r="AS9" i="4" s="1"/>
  <c r="AU8" i="4" a="1"/>
  <c r="AU8" i="4" s="1"/>
  <c r="AO9" i="4"/>
  <c r="AM34" i="4"/>
  <c r="AJ34" i="4"/>
  <c r="AK34" i="4"/>
  <c r="AL34" i="4"/>
  <c r="AI34" i="4"/>
  <c r="AJ59" i="4"/>
  <c r="AL59" i="4"/>
  <c r="AK59" i="4"/>
  <c r="AI59" i="4"/>
  <c r="AM59" i="4"/>
  <c r="AM51" i="4"/>
  <c r="AI51" i="4"/>
  <c r="AK51" i="4"/>
  <c r="AJ51" i="4"/>
  <c r="AL51" i="4"/>
  <c r="AJ14" i="4"/>
  <c r="AM14" i="4"/>
  <c r="AU14" i="4" s="1" a="1"/>
  <c r="AU14" i="4" s="1"/>
  <c r="AI14" i="4"/>
  <c r="AK14" i="4"/>
  <c r="AS14" i="4" s="1" a="1"/>
  <c r="AS14" i="4" s="1"/>
  <c r="AL14" i="4"/>
  <c r="AT14" i="4" s="1" a="1"/>
  <c r="AT14" i="4" s="1"/>
  <c r="AL37" i="4"/>
  <c r="AI37" i="4"/>
  <c r="AJ37" i="4"/>
  <c r="AK37" i="4"/>
  <c r="AM37" i="4"/>
  <c r="AJ23" i="4"/>
  <c r="AK23" i="4"/>
  <c r="AI23" i="4"/>
  <c r="AL23" i="4"/>
  <c r="AM23" i="4"/>
  <c r="AJ75" i="4"/>
  <c r="AI75" i="4"/>
  <c r="AK75" i="4"/>
  <c r="AL75" i="4"/>
  <c r="AM75" i="4"/>
  <c r="AM58" i="4"/>
  <c r="AI58" i="4"/>
  <c r="AJ58" i="4"/>
  <c r="AK58" i="4"/>
  <c r="AL58" i="4"/>
  <c r="AK57" i="4"/>
  <c r="AJ57" i="4"/>
  <c r="AL57" i="4"/>
  <c r="AM57" i="4"/>
  <c r="AI57" i="4"/>
  <c r="AI33" i="4"/>
  <c r="AK33" i="4"/>
  <c r="AL33" i="4"/>
  <c r="AM33" i="4"/>
  <c r="AJ33" i="4"/>
  <c r="AM43" i="4"/>
  <c r="AK43" i="4"/>
  <c r="AL43" i="4"/>
  <c r="AI43" i="4"/>
  <c r="AJ43" i="4"/>
  <c r="AK22" i="4"/>
  <c r="AL22" i="4"/>
  <c r="AM22" i="4"/>
  <c r="AI22" i="4"/>
  <c r="AJ22" i="4"/>
  <c r="AI50" i="4"/>
  <c r="AJ50" i="4"/>
  <c r="AK50" i="4"/>
  <c r="AM50" i="4"/>
  <c r="AL50" i="4"/>
  <c r="AL30" i="4"/>
  <c r="AM30" i="4"/>
  <c r="AJ30" i="4"/>
  <c r="AI30" i="4"/>
  <c r="AK30" i="4"/>
  <c r="AI27" i="4"/>
  <c r="AJ27" i="4"/>
  <c r="AL27" i="4"/>
  <c r="AM27" i="4"/>
  <c r="AK27" i="4"/>
  <c r="AK48" i="4"/>
  <c r="AL48" i="4"/>
  <c r="AM48" i="4"/>
  <c r="AI48" i="4"/>
  <c r="AJ48" i="4"/>
  <c r="AI36" i="4"/>
  <c r="AM36" i="4"/>
  <c r="AJ36" i="4"/>
  <c r="AL36" i="4"/>
  <c r="AK36" i="4"/>
  <c r="AU15" i="4" l="1" a="1"/>
  <c r="AU15" i="4" s="1"/>
  <c r="AS17" i="4" a="1"/>
  <c r="AS17" i="4" s="1"/>
  <c r="AQ10" i="4" a="1"/>
  <c r="AQ10" i="4" s="1"/>
  <c r="AR11" i="4" a="1"/>
  <c r="AR11" i="4" s="1"/>
  <c r="AR17" i="4" a="1"/>
  <c r="AR17" i="4" s="1"/>
  <c r="AU10" i="4" a="1"/>
  <c r="AU10" i="4" s="1"/>
  <c r="AT16" i="4" a="1"/>
  <c r="AT16" i="4" s="1"/>
  <c r="AR9" i="4" a="1"/>
  <c r="AR9" i="4" s="1"/>
  <c r="AQ14" i="4" a="1"/>
  <c r="AQ14" i="4" s="1"/>
  <c r="AT13" i="4" a="1"/>
  <c r="AT13" i="4" s="1"/>
  <c r="AT12" i="4" a="1"/>
  <c r="AT12" i="4" s="1"/>
  <c r="AS15" i="4" a="1"/>
  <c r="AS15" i="4" s="1"/>
  <c r="AU11" i="4" a="1"/>
  <c r="AU11" i="4" s="1"/>
  <c r="AR8" i="4" a="1"/>
  <c r="AR8" i="4" s="1"/>
  <c r="AQ16" i="4" a="1"/>
  <c r="AQ16" i="4" s="1"/>
  <c r="AU16" i="4" a="1"/>
  <c r="AU16" i="4" s="1"/>
  <c r="AU12" i="4" a="1"/>
  <c r="AU12" i="4" s="1"/>
  <c r="AR14" i="4" a="1"/>
  <c r="AR14" i="4" s="1"/>
  <c r="AT10" i="4" a="1"/>
  <c r="AT10" i="4" s="1"/>
  <c r="AR15" i="4" a="1"/>
  <c r="AR15" i="4" s="1"/>
  <c r="AR10" i="4" a="1"/>
  <c r="AR10" i="4" s="1"/>
  <c r="AU13" i="4" a="1"/>
  <c r="AU13" i="4" s="1"/>
  <c r="AS12" i="4" a="1"/>
  <c r="AS12" i="4" s="1"/>
  <c r="AS11" i="4" a="1"/>
  <c r="AS11" i="4" s="1"/>
  <c r="AT11" i="4" a="1"/>
  <c r="AT11" i="4" s="1"/>
  <c r="AQ11" i="4" a="1"/>
  <c r="AQ11" i="4" s="1"/>
  <c r="BU69" i="4"/>
  <c r="BT69" i="4"/>
  <c r="BS69" i="4"/>
  <c r="BR69" i="4"/>
  <c r="BQ69" i="4"/>
  <c r="BP69" i="4"/>
  <c r="BO69" i="4"/>
  <c r="BN69" i="4"/>
  <c r="BM69" i="4"/>
  <c r="BL69" i="4"/>
  <c r="AA14" i="4"/>
  <c r="AA13" i="4"/>
  <c r="AA12" i="4"/>
  <c r="AA11" i="4"/>
  <c r="AA10" i="4"/>
  <c r="AA9" i="4"/>
  <c r="Y15" i="4"/>
  <c r="X15" i="4"/>
  <c r="Y14" i="4"/>
  <c r="X14" i="4"/>
  <c r="Y13" i="4"/>
  <c r="X13" i="4"/>
  <c r="Y12" i="4"/>
  <c r="X12" i="4"/>
  <c r="Y11" i="4"/>
  <c r="X11" i="4"/>
  <c r="Y10" i="4"/>
  <c r="X10" i="4"/>
  <c r="Y9" i="4"/>
  <c r="X9" i="4"/>
  <c r="Y8" i="4"/>
  <c r="N15" i="4"/>
  <c r="M15" i="4"/>
  <c r="L15" i="4"/>
  <c r="K15" i="4"/>
  <c r="J15" i="4"/>
  <c r="N14" i="4"/>
  <c r="M14" i="4"/>
  <c r="L14" i="4"/>
  <c r="K14" i="4"/>
  <c r="J14" i="4"/>
  <c r="N13" i="4"/>
  <c r="M13" i="4"/>
  <c r="L13" i="4"/>
  <c r="K13" i="4"/>
  <c r="J13" i="4"/>
  <c r="N12" i="4"/>
  <c r="M12" i="4"/>
  <c r="L12" i="4"/>
  <c r="K12" i="4"/>
  <c r="J12" i="4"/>
  <c r="N11" i="4"/>
  <c r="M11" i="4"/>
  <c r="L11" i="4"/>
  <c r="K11" i="4"/>
  <c r="J11" i="4"/>
  <c r="N10" i="4"/>
  <c r="M10" i="4"/>
  <c r="L10" i="4"/>
  <c r="K10" i="4"/>
  <c r="J10" i="4"/>
  <c r="N9" i="4"/>
  <c r="M9" i="4"/>
  <c r="L9" i="4"/>
  <c r="K9" i="4"/>
  <c r="J9" i="4"/>
  <c r="N8" i="4"/>
  <c r="M8" i="4"/>
  <c r="L8" i="4"/>
  <c r="K8" i="4"/>
  <c r="E13" i="3"/>
  <c r="D13" i="3"/>
  <c r="C13" i="3"/>
  <c r="B13" i="3"/>
  <c r="A13" i="3"/>
  <c r="E12" i="3"/>
  <c r="D12" i="3"/>
  <c r="C12" i="3"/>
  <c r="B12" i="3"/>
  <c r="A12" i="3"/>
  <c r="E11" i="3"/>
  <c r="D11" i="3"/>
  <c r="C11" i="3"/>
  <c r="B11" i="3"/>
  <c r="A11" i="3"/>
  <c r="E10" i="3"/>
  <c r="D10" i="3"/>
  <c r="C10" i="3"/>
  <c r="B10" i="3"/>
  <c r="A10" i="3"/>
  <c r="E9" i="3"/>
  <c r="D9" i="3"/>
  <c r="C9" i="3"/>
  <c r="B9" i="3"/>
  <c r="A9" i="3"/>
  <c r="E8" i="3"/>
  <c r="D8" i="3"/>
  <c r="C8" i="3"/>
  <c r="B8" i="3"/>
  <c r="A8" i="3"/>
  <c r="E7" i="3"/>
  <c r="D7" i="3"/>
  <c r="C7" i="3"/>
  <c r="B7" i="3"/>
  <c r="A7" i="3"/>
  <c r="E6" i="3"/>
  <c r="D6" i="3"/>
  <c r="C6" i="3"/>
  <c r="B6"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<sst xmlns="http://schemas.openxmlformats.org/spreadsheetml/2006/main" count="1294" uniqueCount="474">
  <si>
    <t>Date</t>
  </si>
  <si>
    <t>Name</t>
  </si>
  <si>
    <t>review_time</t>
  </si>
  <si>
    <t>rating</t>
  </si>
  <si>
    <t>review_processed</t>
  </si>
  <si>
    <t>aspect_sentiment</t>
  </si>
  <si>
    <t>topic</t>
  </si>
  <si>
    <t>All I asked for was a regular size coffee. Coffee was full of coffee grounds to the point I was spitting them out. Also asked for 3 splendas and 4 creamers on the side and received 3 regular sugars and 2 creamers. And as a little plus there was a piece of plastic! Never again!</t>
  </si>
  <si>
    <t>● coffee grounds: negative
● coffee: negative
● sugars: negative
● creamers: negative
● splendas: negative</t>
  </si>
  <si>
    <t>Condiments</t>
  </si>
  <si>
    <t>Dining room is closed for some reason, so have fun getting back in line for a sauce. Sometimes the fries aren't great, which is a huge part of McDonald's. They run out of fry containers and constantly forget sauces. Come on guys, come on!</t>
  </si>
  <si>
    <t>● mcdonald: negative
● fries: negative
● sauce: negative
● fry containerss: negative</t>
  </si>
  <si>
    <t>I was disappointed that the restaurant did not get me my full order, meaning I did not receive my condiments for my big breakfast with hot cakes. No butter, no syrup, and no utensils. Oh, and the egg was half the size of the sausage.</t>
  </si>
  <si>
    <t>● sausage: negative
● egg: negative
● syrup: negative
● butter: negative
● breakfast with hot cakes: neutral
● utensils: negative
● condiments: negative</t>
  </si>
  <si>
    <t>They did not honor there advertised price. This is extra pickles; they did not pay the advertised price for them. They did not have any leftovers from the previous batch of food. It's not their fault; they didn't pay the price they were promised.</t>
  </si>
  <si>
    <t>● food: negative
● price: negative
● pickles: negative</t>
  </si>
  <si>
    <t>McDonald's is usually pretty bad about inventory. The BBQ sauce, it's just a conspiracy. I don't see myself going back to McDonald's anytime soon; they tend to forget the BBQ sauce. Any other sauce and it's in there; it's always there.</t>
  </si>
  <si>
    <t>● sauce: negative
● mcdonald: negative
● bbq sauce: negative</t>
  </si>
  <si>
    <t>My 10 pieces of chicken were missing. The restaurant gave me a hard time about extra sauce. I was very unhappy with the service at the restaurant. The manager was very unsympathetic to my request to get the chicken McNuggets back. The customer was also very unhappy.</t>
  </si>
  <si>
    <t>● chicken mcnuggets: positive
● manager: negative
● service: negative
● sauce: negative
● chicken: negative</t>
  </si>
  <si>
    <t>Driving through the drive thru can get pretty backed up during normal meal periods, so often it is better to go inside. Make sure you go close to regular meal periods for fresher food; the ones under the heat lamp for a while are fresher. The store is always clean.</t>
  </si>
  <si>
    <t>● heat lamp: positive
● food: positive
● meal periods: negative</t>
  </si>
  <si>
    <t>Experience and Environment</t>
  </si>
  <si>
    <t>All I got for my trouble was a "sorry for the wait," not even an explanation. It's not the first time I've had bad service. I once pulled up and they just said we're not serving right now, even though it was smack dab in the middle of the day hours.</t>
  </si>
  <si>
    <t>● serving: negative
● service: negative
● wait: negative</t>
  </si>
  <si>
    <t>Every single time I go they f up my order! Then give attitude when they need to correct their mistakes. The staff is horrible. Corporate needs to send all their staff over to a week of training at chic-fil-A college to learn about work ethic, time management, teamwork and basic manors.</t>
  </si>
  <si>
    <t>● time management: negative
● work: negative
● staff: negative
● manors: negative
● teamwork: negative</t>
  </si>
  <si>
    <t>I don't usually review places, but this location has ridiculously rude service and consistently gets the orders wrong. Even when not busy, they are rude. If I were rude, I wouldn't be able to enjoy the experience at this location. It's ridiculous.</t>
  </si>
  <si>
    <t>● orders: negative
● service: negative</t>
  </si>
  <si>
    <t>When I order during the day, I have no issues. They are listed as a 24 hour location, so they show up on Uber Eats late at night. Anytime I order after midnight, they will accept my order and then sit around for an hour before canceling it.</t>
  </si>
  <si>
    <t>● uber: neutral</t>
  </si>
  <si>
    <t>The staff are very kind and the food is usually prepared in a timely manner. The drive thru line can sometimes be an inconvenience as it can get very long and at times block entrances. For this reason, it's one of my preferred places to go to eat.</t>
  </si>
  <si>
    <t>● places: positive
● entrances: negative
● drive thru line: negative
● food: positive
● staff: positive</t>
  </si>
  <si>
    <t>A 20 minute wait in the drive through for a room temperature caramel mocha that was less than 2/3 full. This was exactly what I ordered! It's what I had ordered, and it's exactly where I ordered it to be. It's perfect!</t>
  </si>
  <si>
    <t>● wait: negative
● caramel mocha: positive</t>
  </si>
  <si>
    <t>The young lady at the drive thru kept having issues getting the order correctly. After I received the fries, the manager dismissed me with a condescending disappointment in the situation. I didn't realize my receipt was in the bag to confirm my order; found it and gave it to the second lady.</t>
  </si>
  <si>
    <t>● manager: negative
● fries: neutral
● order: negative</t>
  </si>
  <si>
    <t>I ordered a meal with an extra fry, but when I got to the food window, was only given the fry with the meal. I offered to pay the difference for the extra fry but was told I needed to drive back around and order again. Seriously? That's the response? Will not be returning.</t>
  </si>
  <si>
    <t>● food window: neutral
● fry: neutral
● meal: neutral</t>
  </si>
  <si>
    <t>When ordering a large, customers expect to get what should come in a large. After arriving at their destination, they did not fill the carton up. They gave me a small portion for what I paid for. This is not right and management needs to correct this.</t>
  </si>
  <si>
    <t>● management: negative
● portion: negative
● carton: negative</t>
  </si>
  <si>
    <t>They will literally stop taking orders and make people sit in the parking lot for 12 minutes until 3 a.m. so that they don't get to order dinner. We have gone multiple times right after leaving the pinball arcade just to wait in the drive-thru line while they do nothing but wait for the order menu to change.</t>
  </si>
  <si>
    <t>● order menu: negative
● thru line: negative
● drive: neutral
● dinner: neutral
● orders: negative
● pinball arcade: neutral</t>
  </si>
  <si>
    <t>Microwaved nuggets, cold fries and a 30 minute wait? What more can you ask for? Don't go there ever! You're better off going hungry or giving the meal you paid for to the homeless by the donation box behind the drive thru.</t>
  </si>
  <si>
    <t>● meal: negative
● wait: negative
● fries: positive</t>
  </si>
  <si>
    <t>The staff seems to always be different, which makes ordering sometimes a little difficult because they are in a state of perpetual learning. The lobby is always clean as well as the bathrooms, but the wait is always longer due to their constant changes in appearance. The staff are always different, making ordering difficult.</t>
  </si>
  <si>
    <t>● appearance: negative
● wait: negative
● bathrooms: neutral
● lobby: positive
● staff: negative</t>
  </si>
  <si>
    <t>The food is always hot, fresh and served with a smile. Have been frequenting this location for a few years; it's always fresh, hot, and delicious. It's a must for breakfast, lunch, and dinner. For more information, visit www.tasteofeat.com.</t>
  </si>
  <si>
    <t>● dinner: positive
● lunch: positive
● breakfast: positive
● served: positive
● food: positive</t>
  </si>
  <si>
    <t>It was late, the order was wrong, and the person taking the order needed to slow down, so the person took too much time to complete the order. correct: It was late; it was wrong; the order had been wrong; and it was too late.</t>
  </si>
  <si>
    <t>● order: negative</t>
  </si>
  <si>
    <t>I had a normal transaction, everyone was calm and polite, but now I don't want to eat this. I'm trying not to think about what this milky white/clear substance is all over my food, and I'm sure I'm not coming back.</t>
  </si>
  <si>
    <t>● food: negative
● substance: negative</t>
  </si>
  <si>
    <t>This article has been updated since it was published in the spring of 2012. It is the first published version of this article to feature a corrected spelling of the word 'taste' The error occurred due to misbelief that the word "taste" referred to the food.</t>
  </si>
  <si>
    <t>● food: neutral
● taste: negative</t>
  </si>
  <si>
    <t>The staff at McDonald's are friendly, accommodating and always smiling. It is what it is as far as the food and atmosphere go; it's what it's always been. It makes for a more pleasant experience than many other fast food places in the area.</t>
  </si>
  <si>
    <t>● fast food: positive
● atmosphere: positive
● food: positive
● staff: positive</t>
  </si>
  <si>
    <t>I work for door dash and they locked us all out to wait in a long line for no reason at 10. I tried to beg them to open it because I'm door dash, but they refused. Covid is over; I'm getting a new job.</t>
  </si>
  <si>
    <t>● wait: negative
● door: negative</t>
  </si>
  <si>
    <t>Food and Menu Items</t>
  </si>
  <si>
    <t>I ordered a frozen lemonade, paid for it, then sat down. I was there for a bit before someone came and told me they were out. It was too much trouble to get a refund for the difference. I'm not sure I like this new way.</t>
  </si>
  <si>
    <t>● frozen lemonade: negative</t>
  </si>
  <si>
    <t>First and last time I went to this location. Look at my receipt and what I got. That's a plain sausage biscuit and a double quarter pounder. I didn't go there before; it's the first and last place I've ever been.</t>
  </si>
  <si>
    <t>● pounder: positive
● quarter: positive
● double: positive
● sausage biscuit: positive</t>
  </si>
  <si>
    <t>The evening manager is the nicest person I have seen. She is in charge of training her crew with constantly new help. Despite this, every time I have to return an order she goes back to the kitchen and explains the proper way to make the sandwich. You can tell the children she works with respect her and look up to her.</t>
  </si>
  <si>
    <t>● sandwich: positive
● crew: positive
● manager: positive</t>
  </si>
  <si>
    <t>This McDonald's constantly gets orders wrong. We have ordered at the window and over the phone and every time we don't get a complete order. Today we went back to get our fries and the manager gave us a new one, but the girl at the front window shoved the bag in our hands and when I asked her to stop, she made a rude face and turned away.</t>
  </si>
  <si>
    <t>● manager: negative
● fries: positive</t>
  </si>
  <si>
    <t>Driving through has issues. They constantly get order wrong. Ask you to pull forward to fix and leave you hanging. Their tea as of late has tasted like dish soap. Their fountain drinks have a funky taste to them. Numerous times their fries have been under cooked.</t>
  </si>
  <si>
    <t>● fries: negative
● fountain drinks: positive
● dish soap: positive
● tea: positive</t>
  </si>
  <si>
    <t>My burger was completely raw in the middle, and when I took it back in to get it remade, the lady behind the counter treated me like I was some stuck up brat for not wanting to eat a raw burger. I will never eat there again.</t>
  </si>
  <si>
    <t>● lady: negative
● burger: negative</t>
  </si>
  <si>
    <t>When you specifically say, plain and dry, and then just to make sure they understood, you add nothing but the meat and buns. Then you get home, open the bag, and immediately see the cheese through the hamburger wrapper. I mean for crying out loud.</t>
  </si>
  <si>
    <t>● hamburger wrapper: neutral
● cheese: positive
● bag: neutral
● meat: neutral
● buns: positive</t>
  </si>
  <si>
    <t>I ordered four happy meals with plain cheeseburgers. All the burgers were wrong. Do you know what it's like to have four grandkids that can eat all the food you ordered? It's not fair. It's just not fair! It's the way it is.</t>
  </si>
  <si>
    <t>● food: positive
● meals: positive
● burgers: negative
● cheeseburgers: neutral</t>
  </si>
  <si>
    <t>If you love to be consistently let down, this is the place to frequent. 100% of the time your order will be missing something. It takes forever to get them to correct their mistakes, so take into consideration that the rest of your food will be cold and soggy by the time you get there.</t>
  </si>
  <si>
    <t>● food: negative</t>
  </si>
  <si>
    <t>When ordering food, the employees forgot to turn off their microphones and were talking messily about all the food we had ordered. This is very unprofessional and honestly uncalled for. When I asked for a receipt, they said it was in the bad and it was not in there.</t>
  </si>
  <si>
    <t>● employees: negative
● food: negative</t>
  </si>
  <si>
    <t>My nuggets were too salty and crunchy, which means I had been sitting there for a while. The cashier cut me off in the middle of my order, but was nice and polite when I addressed it. The fries where kinda cold, but it's a good place to get food at an affordable price.</t>
  </si>
  <si>
    <t>● price: positive
● food: positive
● fries: negative
● cashier: negative
● nuggets: negative</t>
  </si>
  <si>
    <t>I don't understand how you can keep your job when there are so many negative reviews. I would rather eat a cold can of baked beans than eat there. rude customer service, unprofessional attitude, overcooked food, and no complimentary items for screwing up our orders.</t>
  </si>
  <si>
    <t>● food: negative
● customer service: negative
● baked beans: negative</t>
  </si>
  <si>
    <t>McDonald's needs a better system if you are walking on foot. The food tasted great, and I loved the McDonald's deal ordering from the app. Me and my girlfriend came tonight to pick up our food after 11 p.m. for a mobile order.</t>
  </si>
  <si>
    <t>● mcdonald: positive
● food: positive</t>
  </si>
  <si>
    <t>If I paid for a large-sized meal, and I asked for both a large fry and a large drink, please don't argue with me that the ticket says medium drink. I just wanted to spend a little bit of money on unhealthy food for wasting my hard-earned money.</t>
  </si>
  <si>
    <t>● food: negative
● drink: neutral
● fry: neutral
● meal: neutral</t>
  </si>
  <si>
    <t>I go to this restaurant all the time. It's just always a line wrapped around. Most def customer service is better than the food, but I just go there for my kids because they love it, so why not? Good customer service makes all the difference.</t>
  </si>
  <si>
    <t>● customer service: negative
● food: negative
● service: negative</t>
  </si>
  <si>
    <t>I went to pick up food from the restaurant at late night through drive through. I was told to wait near the door and I will be getting the order but even after waiting 15 minutes no one came with the food. Even after coming through drivethrough it takes more than half an hour to get it which is not good.</t>
  </si>
  <si>
    <t>● food: neutral</t>
  </si>
  <si>
    <t>A terrible service worker with a stank attitude for no reason is working at the window mute with an attitude because she is miserable at work. They mess up the order and then don't answer the phone. It's ridiculous. Found a long hair in my daughter's fries and then the extra fry was missing from her meal and she was mad because it was gone.</t>
  </si>
  <si>
    <t>● meal: negative
● fry: negative
● extra: negative
● fries: negative
● service: negative</t>
  </si>
  <si>
    <t>I don't know if it gets any better than that at a fast food place anymore. They got our order correct and didn't cut me off before I had finished ordering our food at the speaker. I could actually understand our order taker; it's amazing.</t>
  </si>
  <si>
    <t>● speaker: positive
● food: neutral
● fast food: neutral</t>
  </si>
  <si>
    <t>Just spent 10 minutes waiting at this McDonald's. According to Google they're open 24/7. One employee was seated in the lobby and another at the window. Whoever these two are, they need to be replaced. 0/10 would not recommend this location for a meal.</t>
  </si>
  <si>
    <t>● meal: neutral
● google: neutral</t>
  </si>
  <si>
    <t>I asked the employee if they could give me a Large coffee w/no ice and she said no. I always get a large sweet tea with no ice and it always tastes good. They handed me a cup that was less than half way full. I was willing to pay more to get a full cup.</t>
  </si>
  <si>
    <t>● cup: positive
● tea: positive
● sweet: positive
● coffee: positive</t>
  </si>
  <si>
    <t>It's a good place to grab a quick bite near Lake Creek. Service is slow, but I get all of my items with no errors, and it's a bit smaller than most locations. It's not perfect, but it's good for a quick meal.</t>
  </si>
  <si>
    <t>● meal: positive
● service: negative
● bite: positive</t>
  </si>
  <si>
    <t>The cashier's are very nice. It's very clean on the inside, and they get your food done quickly. The food is very tasty, and the service is very friendly and efficient. The restaurant is very clean and friendly, too; it's very well run.</t>
  </si>
  <si>
    <t>● service: positive
● food: positive
● cashier: positive</t>
  </si>
  <si>
    <t>The line was extremely big and was moving very slowly, plus they were out of apples and strawberries, but they gave me a substitute cookie. The staff were very apologetic for being slow, but it was the middle of the night and they were extremely under-staffed.</t>
  </si>
  <si>
    <t>● staff: negative
● cookie: negative
● apples strawberries: neutral</t>
  </si>
  <si>
    <t>Frappes are always on point and the machine is always working. Always get me to work on time with fast workers. Hashbrowns were on fire today; they were always on the perfect end of the line. It's always a good sign when the coffee is on point.</t>
  </si>
  <si>
    <t>● coffee: positive
● workers: positive</t>
  </si>
  <si>
    <t>McDonald's is not a fast food company anymore. They're just a food company now. There's always a line wrapped around the building that never moves. When are robots going to replace the kitchen staff who hate their jobs? It's not going to happen soon.</t>
  </si>
  <si>
    <t>● kitchen staff: negative
● fast food: negative</t>
  </si>
  <si>
    <t>No one ever has a smile or a warm welcome at McDonald's. If you say something's wrong, you get a major attitude from the shift manager. Slow always has to wait for my food and have to go back in to get it fixed. No welcome to McDonald's or have a great day especially in drive through.</t>
  </si>
  <si>
    <t>● food: negative
● shift manager: negative</t>
  </si>
  <si>
    <t>I went to this location tonight to see if they could give me the Oreo Mcflurry that a different McDonald's had forgotten earlier, but they completely refused. Unbelievable! It's ice cream. It's not ice cream at this location.</t>
  </si>
  <si>
    <t>● cream: negative
● ice: negative
● ice cream: negative
● oreo mcry: neutral</t>
  </si>
  <si>
    <t>I ordered a large fry and two chicken sandwiches, but they read it back as two spicey chicken sandwiches. They said they would fix it after having to pay a second time for the lettuce and tomato. When I got the order, it was still a spicy chicken sandwich inside a deluxe crispy chicken sandwich.</t>
  </si>
  <si>
    <t>● deluxe: negative
● spicy chicken sandwich: negative
● chicken sandwiches: negative
● fry: negative
● large: neutral
● crispy chicken sandwich: negative
● lettuce and tomato: negative
● spicey chicken sandwiches: negative</t>
  </si>
  <si>
    <t>I went and bought 4 Strawberry Banana smoothies and and 2 hash browns and my smoothies tasted like straight ice and water. I am very disappointed in there service. My smoothie should never taste like that, especially the fact I bought it for not only me but my kids.</t>
  </si>
  <si>
    <t>● service: negative
● water: positive
● strawberry banana smoothies: positive
● smoothie: negative
● hash brownsies: positive</t>
  </si>
  <si>
    <t>My mother was asking for a Coke and the woman became rude and said to her coworker in Spanish that she was too fat. It hurt me that she said that, and we know what she said, so teach your employees how to spell properly in front of people.</t>
  </si>
  <si>
    <t>● employees: negative
● coke: neutral</t>
  </si>
  <si>
    <t>Allways has the best fries and ice cream in the world; it's the best in the whole world! correct: It has the world's best fries, and the best ice cream anywhere! It's very tasty. It's amazing. It is the best!</t>
  </si>
  <si>
    <t>● ice cream: positive
● fries: positive</t>
  </si>
  <si>
    <t>Our order was supposed to have 3 food items and 2 drinks, but they missed a food item. The lady ignored me when I told her. My husband went to get it, she finished her task then handed it to him without a word or a smile or anything.</t>
  </si>
  <si>
    <t>● food: neutral
● drinks: neutral
● food items: neutral</t>
  </si>
  <si>
    <t>McDonald's is proud to own the most broken ice cream machines on the planet. When I asked at the drive through if they had ice cream, the lady replied that they didn't have any ice cream at all. It's a shame, because they have some of the best ice cream in the world.</t>
  </si>
  <si>
    <t>● ice cream: negative</t>
  </si>
  <si>
    <t>It's McDonna. Yup. It's McDonald's. It was the last meal of the meal. The last meal was McDonni. It wasn't a good one. It didn't taste good. It tasted terrible. It tastes like chicken.</t>
  </si>
  <si>
    <t>● chicken: negative
● meal: negative</t>
  </si>
  <si>
    <t>Ordered food wrong and left out part of the order also. One of the drink cups were not filled; poor service girl handed the order at the window on January 7, 2023 at 1 p.m. correct: Ordered food burger wrong, left out some of the orders also.</t>
  </si>
  <si>
    <t>● food burger: negative
● drink cups: negative
● food: negative</t>
  </si>
  <si>
    <t>The drinks were watered down and the employee was rude when asked to replace the drinks. correct: The drink was watered down; the employee had been rude to the customer when asking for the drink back. The drinks were too sweet; the drink was too cold; and the drink had gone cold.</t>
  </si>
  <si>
    <t>● drink: negative
● employee: negative
● drinks: negative</t>
  </si>
  <si>
    <t>Great service, food hot, and good food are the best things ever. correct: Awesome service, great food, and great service. Wrong: Amazing service, amazing food, amazing service, and best service ever. "Best ever"? It's amazing. It's perfect.</t>
  </si>
  <si>
    <t>● food: positive
● service: positive</t>
  </si>
  <si>
    <t>The best McDonald's is the worst McDonald's, says the chain's owner. It's the only McDonald's in the U.S.; it's the worst in the world. It is the world's only fast food chain, and it's a terrible one.</t>
  </si>
  <si>
    <t>● fast food: negative</t>
  </si>
  <si>
    <t>I'm not a huge fan of fast food, but I have two teenage daughters who enjoy McD's. The staff here is always friendly and always get their orders correct. I always enjoy and appreciate quality service from quality people, and you'll definitely find it here.</t>
  </si>
  <si>
    <t>● service: positive
● staff: positive
● fast food: positive</t>
  </si>
  <si>
    <t>If I could give this location a zero on customer service, I would. It's a horrible experience every time as you can see by other reviews. After getting home, I had no regular hamburg but had cookies. Don't even bother going to this location again.</t>
  </si>
  <si>
    <t>● cookies: positive
● hamburg: negative
● customer service: negative</t>
  </si>
  <si>
    <t>The boy who attended me made me wait, and when he saw that the drink was wrong he threw the bag of food at me with a grimace. He was so disappointed, he was so angry! The boy was making me wait; he didn't want me to wait.</t>
  </si>
  <si>
    <t>● bag of food: neutral
● drink: negative</t>
  </si>
  <si>
    <t>This was a dine in experience. The tables were all dirty, and we did not get our food after waiting 35 minutes. Chicken sandwich was burnt; tables were dirty and we didn't receive our food until after 35 minutes had passed; and the food was uneaten.</t>
  </si>
  <si>
    <t>● chicken sandwich: negative
● food: negative
● tables: negative</t>
  </si>
  <si>
    <t>I repeat my order three times in the drive thru, and she still manages to mess it up. It was suppose to be a large meal double filet of fish with large fries, but it was all wrong. They either need to pay close attention to the order being made, or they need not to work at a drive thru.</t>
  </si>
  <si>
    <t>● fries: negative
● meal: negative
● filet of fish: neutral</t>
  </si>
  <si>
    <t>Crispy chicken sandwich was delicious, and customer service was quick and efficient. My mc. was correct: My sandwich was crisp, but the service was fast and friendly. 'My mc. is correct': My sandwich is delicious, but my customer service is fast, friendly, and professional.</t>
  </si>
  <si>
    <t>● sandwich: positive
● service: positive
● customer: positive
● crispy chicken sandwich: positive</t>
  </si>
  <si>
    <t>The staff at the drive thru just shoved the drink in my hands. It's not very professional. I just needed caffeine; I'm not a big fan of fast food. The food was good, but the service was unappetiteful and unprofessional.</t>
  </si>
  <si>
    <t>● service: negative
● food: neutral
● fast food: neutral
● drink: neutral
● staff: negative
● caffeine: neutral</t>
  </si>
  <si>
    <t>I tried to go through the drive thru at 430 a. It said it was 24 hours, but no one seemed to be taking orders. I drove around twice just in case and tried again but still no answer. I saw one employee in the kitchen but couldn't get his attention. It's very bad business.</t>
  </si>
  <si>
    <t>● kitchen: negative</t>
  </si>
  <si>
    <t>Miscellaneous</t>
  </si>
  <si>
    <t>The staff play games as if I'm there to pay my money to see them horsing around. The management are a jock; they don't answer the phone. My next visit to Austin will not be to a McDonald's; instead, I'll go to the beach.</t>
  </si>
  <si>
    <t>● mcdonald: negative
● management: negative
● staff: negative</t>
  </si>
  <si>
    <t>I know places are short staffed, but you can't just ignore people. When I called McDonald's to try and address the issue, they answered and then ignored me. They must have left their phone off the hook because any attempt to call them after this got me only dial tone.</t>
  </si>
  <si>
    <t>● mcdonald: negative
● staffed: negative</t>
  </si>
  <si>
    <t>I never get my orders wrong, and the employees are always quick and nice. The prices here are lower than other locations. I don't know why, but it's a total welcome change to the normal price range. It's a great addition to the area.</t>
  </si>
  <si>
    <t>● area: negative
● price range: negative
● prices: negative
● employees: negative</t>
  </si>
  <si>
    <t>If there are 24 hours in every day and then 7 days in a week, then that means this place is open 17 million hours a year. I don't know how they find people to work here. How do they shower or brush their teeth or change clothes if they are always there? I think I may have an idea: they are robots.</t>
  </si>
  <si>
    <t>● robots: negative</t>
  </si>
  <si>
    <t>I don't come to McDonald's often because my order is wrong every time. Today, the drive thru person could barely hear me, and I was almost yelling. The entire staff were confused and confused as if I had just dropped out of the sky. The cooks had the worst leadership I've ever seen.</t>
  </si>
  <si>
    <t>● cooks: negative
● staff: negative</t>
  </si>
  <si>
    <t>If you didn't take 15 minutes to take a few orders, you'd be able to order off your normal menu instead of the disgusting br. correct: If you took 15 minutes, you wouldn't have to order from the disgusting menu at all; instead, you would have to choose from the normal menu.</t>
  </si>
  <si>
    <t>● br: negative
● menu: negative</t>
  </si>
  <si>
    <t>Can't believe experience with order taker. Went from drive thru and employee directly asked what do you want. He keeps rushing while taking order with no other cars placing order. We wanted to add one more item and asked for a minute. When I said we are ready - no response.</t>
  </si>
  <si>
    <t>● order taker: negative</t>
  </si>
  <si>
    <t>Messed up my order four times in an hour! Will not answer my call. Will not respond to my phone call. Messed up their order fourtimes in and hour! It's a joke. It's all a ruse to get their attention.</t>
  </si>
  <si>
    <t>● messed: negative</t>
  </si>
  <si>
    <t>Didn't take a card. But didn't have any money on her. It's not true. No, it wasn't true. It wasn't there. It didn't exist. It doesn't exist at all. It never existed at all; it never existed.</t>
  </si>
  <si>
    <t>● money: negative
● card: negative</t>
  </si>
  <si>
    <t>I made a mobile order got to the speaker and checked it in, but the line was not moving, so I had to leave. I never got the refund in the app. I called them and they said I could only get my money back in person because it was stuck in the system.</t>
  </si>
  <si>
    <t>● speaker: neutral</t>
  </si>
  <si>
    <t>Packaging</t>
  </si>
  <si>
    <t>Pricing and Value</t>
  </si>
  <si>
    <t>Service and Staff</t>
  </si>
  <si>
    <t>I only go here when they are not busy, in hope that my order is correct when I go to leave. When I finally get the correct order, it is generally tasty. The evening staff is pleasant, but the morning staff leaves a lot to be desired. The morning staff thinks they can talk negatively about people in Spanish out in the open.</t>
  </si>
  <si>
    <t>● morning staff: positive
● evening staff: positive</t>
  </si>
  <si>
    <t>Driving thru attendants are rude, untrained, and unprofessional. When asked for a manager, they lie and say that there isn't one on duty. One specific attendant screamed and cursed at me, which led me to contact corporate. It's impossible for every shift not to have a manager.</t>
  </si>
  <si>
    <t>● attendant: negative
● manager: negative
● attendants: negative</t>
  </si>
  <si>
    <t>It was odd pulling up to the machine and total silence. We had to say "hello?" before he came on and asked what we wanted. You do not have to sound peppy and full of life at 5am, but at least be nice. It was 5:25 a.m. and the worker was probably tired as hell.</t>
  </si>
  <si>
    <t>● worker: negative</t>
  </si>
  <si>
    <t>He went out of his way to make me a satisfied customer. Great customer service. correct: Manager waited on me; correct: He went to great lengths to make the customer happy. The manager was very attentive and kind. The restaurant was very well run and friendly.</t>
  </si>
  <si>
    <t>● manager: positive
● customer service: positive</t>
  </si>
  <si>
    <t>The representative was very rude and disrespectful, refused fulfilling my order and simply hung up on me on the drive through window. Never was I so disappointed at that location before. Manager pretended like nothing had happened; they acted as if nothing had even happened at all.</t>
  </si>
  <si>
    <t>● manager: negative
● representative: negative</t>
  </si>
  <si>
    <t>McDonald's is great, but they need to hire people who understand both English and Spanish. The people are really nice, but be smarter about who you put in the drive thru and lobby to take orders. The staff are all Spanish speakers trying to take English orders.</t>
  </si>
  <si>
    <t>● staff: positive</t>
  </si>
  <si>
    <t>Last night, I sat in the drive thru for almost an hour waiting to get my order taken. The line was wrapped almost twice around the building. When I got to the window, they told me they couldn't take it and I'd have to go back around. I've never received such deplorable customer service in my life.</t>
  </si>
  <si>
    <t>● customer service: negative</t>
  </si>
  <si>
    <t>This location is a horrible store to work for. The General Manger doesn't know how to run a store efficiently. The Supervisor, Eduardo, doesn't care how its ran either. As someone who used to work here at the store, I can relate to this situation.</t>
  </si>
  <si>
    <t>● supervisor: negative
● general: negative</t>
  </si>
  <si>
    <t>The manager is rude at 13749 183 research Blvd. in north Austin, Texas. We had to go back to the restaurant three times, and the third time the manager didn't even know we were there. The manager is about 5ft tall and had long blonde hair pulled back into a ponytail.</t>
  </si>
  <si>
    <t>● manager: negative</t>
  </si>
  <si>
    <t>In the beginning everything was great, but that didn't last long. The service is fast but with attitude, and the service is very friendly and friendly. We hit it off pretty well in the beginning, but it didn'tLast week, we had a fight.</t>
  </si>
  <si>
    <t>● service: positive</t>
  </si>
  <si>
    <t>It was a long line, but it went quickly. It was a good quick drive through service; it went very quickly. correct: It was very quick, it was a very long line; the service was very efficient and fast. It's a good sign.</t>
  </si>
  <si>
    <t>The morning crew seems fast and efficient, but the night crew is a whole different experience. The staff is so rude you leave wanting to crash your car through the building. Don't forget they will mistake your order almost every single time as well and serve it to you cold.</t>
  </si>
  <si>
    <t>● staff: negative
● night crew: positive
● morning crew: positive</t>
  </si>
  <si>
    <t>The staff are very friendly and they do their job perfectly. correct: The staff are friendly, and they are doing their jobs perfectly. The students are friendly and doing their job well.correct: The student is friendly and the student is doing his job properly.</t>
  </si>
  <si>
    <t>A McDonald's with horrible service and lazy employees. I mean, do they intentionally hire unqualified people? It's yet another McDonald's where the service is horrible and the employees are unqualified. It's ridiculous! It's like a movie! It doesn't get any worse.</t>
  </si>
  <si>
    <t>● employees: negative
● service: negative</t>
  </si>
  <si>
    <t>With all the new upgrades, everything looks great and is clean and neat. The staff are great and have a great staff. correct: With all the upgrades, the staff are very clean and well-mannered. incorrect: The staff is very friendly and friendly.</t>
  </si>
  <si>
    <t>Selected Information</t>
  </si>
  <si>
    <t>Selected Topic</t>
  </si>
  <si>
    <t>For References</t>
  </si>
  <si>
    <t>Topic</t>
  </si>
  <si>
    <t>Reviewer Id</t>
  </si>
  <si>
    <t>Rating</t>
  </si>
  <si>
    <t>Review</t>
  </si>
  <si>
    <t>Aspect Sentiment</t>
  </si>
  <si>
    <t>From</t>
  </si>
  <si>
    <t>To</t>
  </si>
  <si>
    <t>Table Main Handling</t>
  </si>
  <si>
    <t>Table Aspect Handling</t>
  </si>
  <si>
    <t>aspect</t>
  </si>
  <si>
    <t>negative</t>
  </si>
  <si>
    <t>neutral</t>
  </si>
  <si>
    <t>positive</t>
  </si>
  <si>
    <t>total</t>
  </si>
  <si>
    <t>food</t>
  </si>
  <si>
    <t>heat lamp</t>
  </si>
  <si>
    <t>kitchen</t>
  </si>
  <si>
    <t>meal period</t>
  </si>
  <si>
    <t>serve</t>
  </si>
  <si>
    <t>service</t>
  </si>
  <si>
    <t>wait</t>
  </si>
  <si>
    <t>work</t>
  </si>
  <si>
    <t>time management</t>
  </si>
  <si>
    <t>staff</t>
  </si>
  <si>
    <t>teamwork</t>
  </si>
  <si>
    <t>manor</t>
  </si>
  <si>
    <t>frozen lemonade</t>
  </si>
  <si>
    <t>evening staff</t>
  </si>
  <si>
    <t>morning staff</t>
  </si>
  <si>
    <t>pounder</t>
  </si>
  <si>
    <t>uber</t>
  </si>
  <si>
    <t>tea</t>
  </si>
  <si>
    <t>sugar</t>
  </si>
  <si>
    <t>splendas</t>
  </si>
  <si>
    <t>sausage biscuit</t>
  </si>
  <si>
    <t>sandwich</t>
  </si>
  <si>
    <t>quarter</t>
  </si>
  <si>
    <t>order</t>
  </si>
  <si>
    <t>fry</t>
  </si>
  <si>
    <t>lady</t>
  </si>
  <si>
    <t>fountain drink</t>
  </si>
  <si>
    <t>double</t>
  </si>
  <si>
    <t>dish soap</t>
  </si>
  <si>
    <t>crew</t>
  </si>
  <si>
    <t>creamer</t>
  </si>
  <si>
    <t>coffee ground</t>
  </si>
  <si>
    <t>coffee</t>
  </si>
  <si>
    <t>burger</t>
  </si>
  <si>
    <t>manager</t>
  </si>
  <si>
    <t>mcdonald</t>
  </si>
  <si>
    <t>meal</t>
  </si>
  <si>
    <t>meat</t>
  </si>
  <si>
    <t>worker</t>
  </si>
  <si>
    <t>sauce</t>
  </si>
  <si>
    <t>hamburger wrapper</t>
  </si>
  <si>
    <t>place</t>
  </si>
  <si>
    <t>fry containerss</t>
  </si>
  <si>
    <t>cheese</t>
  </si>
  <si>
    <t>bag</t>
  </si>
  <si>
    <t>bun</t>
  </si>
  <si>
    <t>caramel mocha</t>
  </si>
  <si>
    <t>attendant</t>
  </si>
  <si>
    <t>cheeseburger</t>
  </si>
  <si>
    <t>drive thru line</t>
  </si>
  <si>
    <t>employee</t>
  </si>
  <si>
    <t>entrance</t>
  </si>
  <si>
    <t>representative</t>
  </si>
  <si>
    <t>nugget</t>
  </si>
  <si>
    <t>pickle</t>
  </si>
  <si>
    <t>portion</t>
  </si>
  <si>
    <t>price</t>
  </si>
  <si>
    <t>price range</t>
  </si>
  <si>
    <t>management</t>
  </si>
  <si>
    <t>robot</t>
  </si>
  <si>
    <t>speaker</t>
  </si>
  <si>
    <t>sausage</t>
  </si>
  <si>
    <t>shift manager</t>
  </si>
  <si>
    <t>supervisor</t>
  </si>
  <si>
    <t>syrup</t>
  </si>
  <si>
    <t>utensil</t>
  </si>
  <si>
    <t>kitchen staff</t>
  </si>
  <si>
    <t>google</t>
  </si>
  <si>
    <t>sweet</t>
  </si>
  <si>
    <t>apple strawberry</t>
  </si>
  <si>
    <t>area</t>
  </si>
  <si>
    <t>bake bean</t>
  </si>
  <si>
    <t>bbq sauce</t>
  </si>
  <si>
    <t>general</t>
  </si>
  <si>
    <t>bite</t>
  </si>
  <si>
    <t>breakfast with hot cake</t>
  </si>
  <si>
    <t>butter</t>
  </si>
  <si>
    <t>carton</t>
  </si>
  <si>
    <t>condiment</t>
  </si>
  <si>
    <t>cashier</t>
  </si>
  <si>
    <t>cookie</t>
  </si>
  <si>
    <t>cup</t>
  </si>
  <si>
    <t>customer service</t>
  </si>
  <si>
    <t>drink</t>
  </si>
  <si>
    <t>egg</t>
  </si>
  <si>
    <t>extra</t>
  </si>
  <si>
    <t>fast food</t>
  </si>
  <si>
    <t>food window</t>
  </si>
  <si>
    <t>cook</t>
  </si>
  <si>
    <t>br</t>
  </si>
  <si>
    <t>menu</t>
  </si>
  <si>
    <t>oreo mcry</t>
  </si>
  <si>
    <t>order taker</t>
  </si>
  <si>
    <t>ice cream</t>
  </si>
  <si>
    <t>ice</t>
  </si>
  <si>
    <t>cream</t>
  </si>
  <si>
    <t>pinball arcade</t>
  </si>
  <si>
    <t>thru line</t>
  </si>
  <si>
    <t>spicy chicken sandwich</t>
  </si>
  <si>
    <t>spicey chicken sandwich</t>
  </si>
  <si>
    <t>order menu</t>
  </si>
  <si>
    <t>lettuce and tomato</t>
  </si>
  <si>
    <t>drive</t>
  </si>
  <si>
    <t>dinner</t>
  </si>
  <si>
    <t>deluxe</t>
  </si>
  <si>
    <t>crispy chicken sandwich</t>
  </si>
  <si>
    <t>chicken sandwich</t>
  </si>
  <si>
    <t>large</t>
  </si>
  <si>
    <t>water</t>
  </si>
  <si>
    <t>lunch</t>
  </si>
  <si>
    <t>strawberry banana smoothie</t>
  </si>
  <si>
    <t>lobby</t>
  </si>
  <si>
    <t>smoothie</t>
  </si>
  <si>
    <t>coke</t>
  </si>
  <si>
    <t>breakfast</t>
  </si>
  <si>
    <t>bathroom</t>
  </si>
  <si>
    <t>appearance</t>
  </si>
  <si>
    <t>hash brownsie</t>
  </si>
  <si>
    <t>night crew</t>
  </si>
  <si>
    <t>morning crew</t>
  </si>
  <si>
    <t>food item</t>
  </si>
  <si>
    <t>mess</t>
  </si>
  <si>
    <t>food burger</t>
  </si>
  <si>
    <t>chicken</t>
  </si>
  <si>
    <t>drink cup</t>
  </si>
  <si>
    <t>card</t>
  </si>
  <si>
    <t>money</t>
  </si>
  <si>
    <t>substance</t>
  </si>
  <si>
    <t>hamburg</t>
  </si>
  <si>
    <t>chicken mcnugget</t>
  </si>
  <si>
    <t>table</t>
  </si>
  <si>
    <t>filet of fish</t>
  </si>
  <si>
    <t>bag of food</t>
  </si>
  <si>
    <t>taste</t>
  </si>
  <si>
    <t>customer</t>
  </si>
  <si>
    <t>caffeine</t>
  </si>
  <si>
    <t>atmosphere</t>
  </si>
  <si>
    <t>door</t>
  </si>
  <si>
    <t xml:space="preserve">Base </t>
  </si>
  <si>
    <t>Max</t>
  </si>
  <si>
    <t>Min</t>
  </si>
  <si>
    <t>Pagination Aspect Table</t>
  </si>
  <si>
    <t>Table Topic Distribution</t>
  </si>
  <si>
    <t>Title:</t>
  </si>
  <si>
    <t>Distribution Topic During Selected Period</t>
  </si>
  <si>
    <t>dummy</t>
  </si>
  <si>
    <t>% positive</t>
  </si>
  <si>
    <t>% neutral</t>
  </si>
  <si>
    <t>% negative</t>
  </si>
  <si>
    <t>year</t>
  </si>
  <si>
    <t>month</t>
  </si>
  <si>
    <t>rating_sum</t>
  </si>
  <si>
    <t>rating_count</t>
  </si>
  <si>
    <t>unique</t>
  </si>
  <si>
    <t>Unique</t>
  </si>
  <si>
    <t>Trend Calculation</t>
  </si>
  <si>
    <t>Grand Total</t>
  </si>
  <si>
    <t>Monthly</t>
  </si>
  <si>
    <t>Month</t>
  </si>
  <si>
    <t>Yearly</t>
  </si>
  <si>
    <t>Year</t>
  </si>
  <si>
    <t>Plotting</t>
  </si>
  <si>
    <t>Pagination Trend</t>
  </si>
  <si>
    <t>Trend</t>
  </si>
  <si>
    <t>label</t>
  </si>
  <si>
    <t>Frequency</t>
  </si>
  <si>
    <t>Select Metrics</t>
  </si>
  <si>
    <t>Metrics</t>
  </si>
  <si>
    <t>Count Empty rating</t>
  </si>
  <si>
    <t>Len table</t>
  </si>
  <si>
    <t>is_ratingNotFail?</t>
  </si>
  <si>
    <t>Title</t>
  </si>
  <si>
    <t>label positive</t>
  </si>
  <si>
    <t>label neutral</t>
  </si>
  <si>
    <t>label negative</t>
  </si>
  <si>
    <t>helper variables:</t>
  </si>
  <si>
    <t>Min Date</t>
  </si>
  <si>
    <t>Max Date</t>
  </si>
  <si>
    <t>Day</t>
  </si>
  <si>
    <t>To (Base Date)</t>
  </si>
  <si>
    <t>Base Month</t>
  </si>
  <si>
    <t>Score Cards</t>
  </si>
  <si>
    <t>Sentiment Poisitive Rate Overall</t>
  </si>
  <si>
    <t>Sentiment Negative Rate Overall</t>
  </si>
  <si>
    <t>Fine</t>
  </si>
  <si>
    <t>Strength</t>
  </si>
  <si>
    <t>Weakness</t>
  </si>
  <si>
    <t>Crispy chicken sandwich was delicious, and customer service was quick and efficient.</t>
  </si>
  <si>
    <t>Staff at McDonald's are friendly, accommodating, and always smiling.</t>
  </si>
  <si>
    <t>Food is always hot, fresh, and served with a smile.</t>
  </si>
  <si>
    <t>Great service, food hot, and good food are the best things ever.</t>
  </si>
  <si>
    <t>Cashiers are very nice.</t>
  </si>
  <si>
    <t>Evening manager is exceptionally kind.</t>
  </si>
  <si>
    <t>Staff is very kind, and food is usually prepared in a timely manner.</t>
  </si>
  <si>
    <t>Frappes are consistently good, and the machine works reliably.</t>
  </si>
  <si>
    <t>A good place to grab a quick bite near Lake Creek.</t>
  </si>
  <si>
    <t>Ice cream and fries are described as the best in the world.</t>
  </si>
  <si>
    <t>Frequent issues with incorrect or incomplete orders (e.g., missing chicken pieces, wrong sandwiches, items left out).</t>
  </si>
  <si>
    <t>Poor customer service, including rude or dismissive staff and unwelcoming attitudes.</t>
  </si>
  <si>
    <t>Long waits in drive-thru or for food preparation.</t>
  </si>
  <si>
    <t>Food quality concerns, such as raw burgers, cold fries, overly salty nuggets, or watered-down drinks.</t>
  </si>
  <si>
    <t>Employees refusing reasonable requests or being unaccommodating (e.g., refusal to replace drinks or provide missing items).</t>
  </si>
  <si>
    <t>Instances of unprofessional behavior, including rude comments and careless service (e.g., throwing food bags).</t>
  </si>
  <si>
    <t>Frustration with broken systems, such as non-functioning ice cream machines or drive-thru backups.</t>
  </si>
  <si>
    <t>Some customers appreciate certain items like frappes but criticize the overall experience.</t>
  </si>
  <si>
    <t>Drive-thru is often backed up during peak times; dining in may be quicker.</t>
  </si>
  <si>
    <t>Some customers acknowledge McDonald’s convenience but express dissatisfaction with consistency in service and food quality.</t>
  </si>
  <si>
    <t>A mix of satisfaction with friendly staff and disappointment with operational issues.</t>
  </si>
  <si>
    <t>Condiments missing from orders, causing dissatisfaction (e.g., not receiving condiments for a big breakfast with hot cakes).</t>
  </si>
  <si>
    <t>Frustration with dining room closures forcing customers to re-enter drive-thru lines for items like sauces.</t>
  </si>
  <si>
    <t>General perception that McDonald's struggles with inventory management, including condiments.</t>
  </si>
  <si>
    <t>Issues with condiments are part of broader concerns about order completeness and inventory reliability.</t>
  </si>
  <si>
    <t>Staff described as friendly, accommodating, smiling, and efficient (e.g., morning crew and evening manager).</t>
  </si>
  <si>
    <t>Instances of great service with hot food served in a timely manner.</t>
  </si>
  <si>
    <t>Employees going out of their way to satisfy customers.</t>
  </si>
  <si>
    <t>Some cashiers and staff consistently receive praise for kindness and professionalism.</t>
  </si>
  <si>
    <t>Drive-thru lines sometimes move quickly despite being long.</t>
  </si>
  <si>
    <t>Frequent complaints about rude, unprofessional, or untrained staff, including dismissive attitudes and mishandling of orders.</t>
  </si>
  <si>
    <t>Long waits in the drive-thru and delayed service, with minimal apologies or explanations.</t>
  </si>
  <si>
    <t>Inconsistent staff quality between morning and night crews.</t>
  </si>
  <si>
    <t>Repeated issues with orders being incorrect or incomplete.</t>
  </si>
  <si>
    <t>Specific reports of disrespectful behavior (e.g., mocking customers in another language or speaking negatively about customers on microphones).</t>
  </si>
  <si>
    <t>Instances of careless service, such as shoving drinks or food at customers.</t>
  </si>
  <si>
    <t>Concerns about staff playing around or lacking focus during work hours.</t>
  </si>
  <si>
    <t>Negative experiences attributed to poor management at specific locations.</t>
  </si>
  <si>
    <t>General sentiment that customer service at McDonald’s is often lacking, with some perceiving it as a systemic issue.</t>
  </si>
  <si>
    <t>Staff turnover and perpetual training contribute to inconsistencies in service.</t>
  </si>
  <si>
    <t>Cleanliness and upgrades in stores are appreciated but do not always translate to improved service experiences.</t>
  </si>
  <si>
    <t>Regular patrons report mixed reliability in service quality, depending on the time or crew.</t>
  </si>
  <si>
    <t>Calm and polite transactions are noted by some customers.</t>
  </si>
  <si>
    <t>Friendly, smiling staff contribute to a welcoming atmosphere.</t>
  </si>
  <si>
    <t>Food is often described as hot, fresh, and served with a smile during positive experiences.</t>
  </si>
  <si>
    <t>Some customers report no issues with orders when visiting during the day.</t>
  </si>
  <si>
    <t>Long waits for food, both in the drive-thru and inside, with minimal apologies or explanations for delays.</t>
  </si>
  <si>
    <t>Instances of incorrect or incomplete orders leading to frustration.</t>
  </si>
  <si>
    <t>Poor management of late-night operations, such as locking out delivery drivers or pausing order-taking unnecessarily.</t>
  </si>
  <si>
    <t>Environmental issues like crowded or backed-up drive-thrus during peak times.</t>
  </si>
  <si>
    <t>Perception of inconsistency in staff competency, leading to difficulties in ordering.</t>
  </si>
  <si>
    <t>Cold or improperly prepared food (e.g., microwaved nuggets, room temperature drinks).</t>
  </si>
  <si>
    <t>A lack of clear communication or adequate service during busy or late hours.</t>
  </si>
  <si>
    <t>Frustration with recurring mistakes at specific locations.</t>
  </si>
  <si>
    <t>Customers find it more efficient to dine inside rather than using the drive-thru during peak hours.</t>
  </si>
  <si>
    <t>Experiences can vary significantly depending on the time of day and the specific crew on shift.</t>
  </si>
  <si>
    <t>Instances of disrespectful behavior during service, such as an employee throwing a bag of food at a customer.</t>
  </si>
  <si>
    <t>Dissatisfaction with incorrect packaging, such as receiving improperly prepared items despite clear instructions.</t>
  </si>
  <si>
    <t>Customers expressing frustration when packaging does not match the expectations for size or customization (e.g., large orders not being properly portioned).</t>
  </si>
  <si>
    <t>Complaints about not honoring advertised prices, leading to frustration over perceived unfairness.</t>
  </si>
  <si>
    <t>Concerns about food quality not aligning with the value expected, such as overly salty or stale items.</t>
  </si>
  <si>
    <t>Some customers feel the value is met when orders are correct, and service is efficient and friendly.</t>
  </si>
  <si>
    <t>Row Labels</t>
  </si>
  <si>
    <t>review_id</t>
  </si>
  <si>
    <t>Review Id</t>
  </si>
  <si>
    <t>Select Params</t>
  </si>
  <si>
    <t>Year Exists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</si>
</sst>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
    <numFmt numFmtId="166" formatCode="yyyy\-mm\-dd;@"/>
  </numFmts>
  <fonts count="6" x14ac:knownFonts="1">
    <font>
      <sz val="11"/>
      <color theme="1"/>
      <name val="Calibri"/>
      <family val="2"/>
      <scheme val="minor"/>
    </font>
    <font>
      <b/>
      <sz val="11"/>
      <color theme="1"/>
      <name val="Calibri"/>
      <family val="2"/>
      <scheme val="minor"/>
    </font>
    <font>
      <sz val="11"/>
      <color theme="0"/>
      <name val="Calibri"/>
      <family val="2"/>
      <scheme val="minor"/>
    </font>
    <font>
      <b/>
      <sz val="11"/>
      <name val="Calibri"/>
      <family val="2"/>
    </font>
    <font>
      <sz val="11"/>
      <color theme="1"/>
      <name val="Calibri"/>
      <family val="2"/>
      <scheme val="minor"/>
    </font>
    <font>
      <b/>
      <sz val="11"/>
      <color theme="0"/>
      <name val="Calibri"/>
      <family val="2"/>
      <scheme val="minor"/>
    </font>
  </fonts>
  <fills count="14">
    <fill>
      <patternFill patternType="none"/>
    </fill>
    <fill>
      <patternFill patternType="gray125"/>
    </fill>
    <fill>
      <patternFill patternType="solid">
        <fgColor theme="0" tint="-0.499984740745262"/>
        <bgColor indexed="64"/>
      </patternFill>
    </fill>
    <fill>
      <patternFill patternType="solid">
        <fgColor theme="1" tint="0.499984740745262"/>
        <bgColor indexed="64"/>
      </patternFill>
    </fill>
    <fill>
      <patternFill patternType="solid">
        <fgColor theme="4"/>
        <bgColor theme="4"/>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8" tint="0.59999389629810485"/>
        <bgColor indexed="64"/>
      </patternFill>
    </fill>
    <fill>
      <patternFill patternType="solid">
        <fgColor rgb="FFFF0000"/>
        <bgColor indexed="64"/>
      </patternFill>
    </fill>
    <fill>
      <patternFill patternType="solid">
        <fgColor rgb="FFFFC000"/>
        <bgColor indexed="64"/>
      </patternFill>
    </fill>
    <fill>
      <patternFill patternType="solid">
        <fgColor theme="8" tint="0.79998168889431442"/>
        <bgColor indexed="64"/>
      </patternFill>
    </fill>
    <fill>
      <patternFill patternType="solid">
        <fgColor theme="0"/>
        <bgColor indexed="64"/>
      </patternFill>
    </fill>
    <fill>
      <patternFill patternType="solid">
        <fgColor theme="2" tint="-0.249977111117893"/>
        <bgColor indexed="64"/>
      </patternFill>
    </fill>
  </fills>
  <borders count="10">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thin">
        <color theme="4" tint="0.39997558519241921"/>
      </bottom>
      <diagonal/>
    </border>
  </borders>
  <cellStyleXfs count="2">
    <xf numFmtId="0" fontId="0" fillId="0" borderId="0"/>
    <xf numFmtId="9" fontId="4" fillId="0" borderId="0" applyFont="0" applyFill="0" applyBorder="0" applyAlignment="0" applyProtection="0"/>
  </cellStyleXfs>
  <cellXfs count="62">
    <xf numFmtId="0" fontId="0" fillId="0" borderId="0" xfId="0"/>
    <xf numFmtId="0" fontId="2" fillId="2" borderId="0" xfId="0" applyFont="1" applyFill="1"/>
    <xf numFmtId="0" fontId="0" fillId="2" borderId="0" xfId="0" applyFill="1"/>
    <xf numFmtId="0" fontId="2" fillId="3" borderId="0" xfId="0" applyFont="1" applyFill="1"/>
    <xf numFmtId="0" fontId="0" fillId="3" borderId="0" xfId="0" applyFill="1"/>
    <xf numFmtId="0" fontId="1" fillId="0" borderId="0" xfId="0" applyFont="1"/>
    <xf numFmtId="0" fontId="3" fillId="0" borderId="1" xfId="0" applyFont="1" applyBorder="1" applyAlignment="1">
      <alignment horizontal="center" vertical="top"/>
    </xf>
    <xf numFmtId="14" fontId="0" fillId="0" borderId="0" xfId="0" applyNumberFormat="1"/>
    <xf numFmtId="0" fontId="0" fillId="0" borderId="0" xfId="0" applyAlignment="1">
      <alignment wrapText="1"/>
    </xf>
    <xf numFmtId="14" fontId="0" fillId="0" borderId="0" xfId="0" applyNumberFormat="1" applyAlignment="1">
      <alignment wrapText="1"/>
    </xf>
    <xf numFmtId="0" fontId="5" fillId="4" borderId="3" xfId="0" applyFont="1" applyFill="1" applyBorder="1"/>
    <xf numFmtId="0" fontId="5" fillId="4" borderId="4" xfId="0" applyFont="1" applyFill="1" applyBorder="1"/>
    <xf numFmtId="14" fontId="5" fillId="4" borderId="3" xfId="0" applyNumberFormat="1" applyFont="1" applyFill="1" applyBorder="1"/>
    <xf numFmtId="9" fontId="0" fillId="0" borderId="0" xfId="1" applyFont="1"/>
    <xf numFmtId="0" fontId="3" fillId="0" borderId="2" xfId="0" applyFont="1" applyBorder="1" applyAlignment="1">
      <alignment horizontal="center" vertical="top"/>
    </xf>
    <xf numFmtId="164" fontId="0" fillId="0" borderId="0" xfId="0" applyNumberFormat="1"/>
    <xf numFmtId="0" fontId="5" fillId="4" borderId="0" xfId="0" applyFont="1" applyFill="1"/>
    <xf numFmtId="0" fontId="0" fillId="5" borderId="0" xfId="0" applyFill="1"/>
    <xf numFmtId="0" fontId="5" fillId="0" borderId="3" xfId="0" applyFont="1" applyBorder="1"/>
    <xf numFmtId="0" fontId="5" fillId="0" borderId="0" xfId="0" applyFont="1"/>
    <xf numFmtId="0" fontId="0" fillId="7" borderId="5" xfId="0" applyFill="1" applyBorder="1"/>
    <xf numFmtId="0" fontId="0" fillId="6" borderId="5" xfId="0" applyFill="1" applyBorder="1"/>
    <xf numFmtId="0" fontId="0" fillId="0" borderId="0" xfId="0" applyAlignment="1">
      <alignment horizontal="right"/>
    </xf>
    <xf numFmtId="0" fontId="0" fillId="6" borderId="6" xfId="0" applyFill="1" applyBorder="1"/>
    <xf numFmtId="0" fontId="3" fillId="4" borderId="1" xfId="0" applyFont="1" applyFill="1" applyBorder="1" applyAlignment="1">
      <alignment horizontal="center" vertical="top"/>
    </xf>
    <xf numFmtId="164" fontId="0" fillId="0" borderId="0" xfId="0" applyNumberFormat="1" applyAlignment="1">
      <alignment horizontal="left"/>
    </xf>
    <xf numFmtId="165" fontId="0" fillId="0" borderId="0" xfId="0" applyNumberFormat="1"/>
    <xf numFmtId="0" fontId="0" fillId="8" borderId="0" xfId="0" applyFill="1"/>
    <xf numFmtId="166" fontId="0" fillId="8" borderId="0" xfId="0" applyNumberFormat="1" applyFill="1"/>
    <xf numFmtId="0" fontId="0" fillId="9" borderId="0" xfId="0" applyFill="1"/>
    <xf numFmtId="0" fontId="0" fillId="10" borderId="0" xfId="0" applyFill="1"/>
    <xf numFmtId="0" fontId="0" fillId="11" borderId="0" xfId="0" applyFill="1"/>
    <xf numFmtId="14" fontId="0" fillId="11" borderId="0" xfId="0" applyNumberFormat="1" applyFill="1"/>
    <xf numFmtId="9" fontId="0" fillId="11" borderId="0" xfId="1" applyFont="1" applyFill="1"/>
    <xf numFmtId="9" fontId="0" fillId="8" borderId="0" xfId="1" applyFont="1" applyFill="1"/>
    <xf numFmtId="0" fontId="3" fillId="0" borderId="0" xfId="0" applyFont="1" applyAlignment="1">
      <alignment horizontal="center" vertical="top"/>
    </xf>
    <xf numFmtId="0" fontId="0" fillId="0" borderId="0" xfId="0" applyAlignment="1">
      <alignment horizontal="left" vertical="center" wrapText="1"/>
    </xf>
    <xf numFmtId="0" fontId="0" fillId="0" borderId="0" xfId="0" applyAlignment="1">
      <alignment horizontal="center" vertical="center" wrapText="1"/>
    </xf>
    <xf numFmtId="0" fontId="1" fillId="0" borderId="2" xfId="0" applyFont="1" applyBorder="1" applyAlignment="1">
      <alignment horizontal="center" wrapText="1"/>
    </xf>
    <xf numFmtId="0" fontId="0" fillId="0" borderId="2" xfId="0" applyBorder="1" applyAlignment="1">
      <alignment horizontal="center" wrapText="1"/>
    </xf>
    <xf numFmtId="0" fontId="0" fillId="0" borderId="2" xfId="0" applyBorder="1" applyAlignment="1">
      <alignment horizontal="right" wrapText="1"/>
    </xf>
    <xf numFmtId="0" fontId="0" fillId="0" borderId="2" xfId="0" applyBorder="1" applyAlignment="1">
      <alignment wrapText="1"/>
    </xf>
    <xf numFmtId="0" fontId="0" fillId="0" borderId="2" xfId="0" applyBorder="1" applyAlignment="1">
      <alignment horizontal="left" vertical="center" wrapText="1"/>
    </xf>
    <xf numFmtId="0" fontId="0" fillId="0" borderId="2" xfId="0" applyBorder="1"/>
    <xf numFmtId="0" fontId="0" fillId="8" borderId="0" xfId="0" applyFill="1" applyAlignment="1">
      <alignment horizontal="center"/>
    </xf>
    <xf numFmtId="14" fontId="0" fillId="0" borderId="0" xfId="0" applyNumberFormat="1" applyAlignment="1">
      <alignment horizontal="center" vertical="center" wrapText="1"/>
    </xf>
    <xf numFmtId="0" fontId="1" fillId="0" borderId="0" xfId="0" applyFont="1" applyAlignment="1">
      <alignment horizontal="center" wrapText="1"/>
    </xf>
    <xf numFmtId="14" fontId="1" fillId="0" borderId="0" xfId="0" applyNumberFormat="1" applyFont="1" applyAlignment="1">
      <alignment horizontal="center" wrapText="1"/>
    </xf>
    <xf numFmtId="0" fontId="1" fillId="6" borderId="9" xfId="0" applyFont="1" applyFill="1" applyBorder="1"/>
    <xf numFmtId="0" fontId="0" fillId="0" borderId="0" xfId="0" pivotButton="1"/>
    <xf numFmtId="0" fontId="1" fillId="6" borderId="0" xfId="0" applyFont="1" applyFill="1"/>
    <xf numFmtId="0" fontId="0" fillId="12" borderId="0" xfId="0" applyFill="1"/>
    <xf numFmtId="0" fontId="0" fillId="12" borderId="2" xfId="0" applyFill="1" applyBorder="1" applyAlignment="1">
      <alignment horizontal="center"/>
    </xf>
    <xf numFmtId="0" fontId="0" fillId="13" borderId="0" xfId="0" applyFill="1"/>
    <xf numFmtId="0" fontId="1" fillId="0" borderId="7" xfId="0" applyFont="1" applyBorder="1" applyAlignment="1">
      <alignment horizontal="center" vertical="center" wrapText="1"/>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 xfId="0" applyFont="1" applyBorder="1" applyAlignment="1">
      <alignment horizontal="center" vertical="center"/>
    </xf>
  </cellXfs>
  <cellStyles count="2">
    <cellStyle name="Normal" xfId="0" builtinId="0"/>
    <cellStyle name="Percent" xfId="1" builtinId="5"/>
  </cellStyles>
  <dxfs count="32">
    <dxf>
      <numFmt numFmtId="19" formatCode="dd/mm/yyyy"/>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numFmt numFmtId="164" formatCode="yyyy\-mm\-dd"/>
    </dxf>
    <dxf>
      <numFmt numFmtId="164" formatCode="yyyy\-mm\-dd"/>
    </dxf>
    <dxf>
      <numFmt numFmtId="164" formatCode="yyyy\-mm\-dd"/>
    </dxf>
    <dxf>
      <numFmt numFmtId="164" formatCode="yyyy\-mm\-dd"/>
    </dxf>
    <dxf>
      <numFmt numFmtId="164"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70CD53"/>
      <color rgb="FFF8F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calculation!$BK$15</c:f>
          <c:strCache>
            <c:ptCount val="1"/>
            <c:pt idx="0">
              <c:v>Trend Sentiment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7665866669570429E-2"/>
          <c:y val="0.16463939521975357"/>
          <c:w val="0.96994980772603145"/>
          <c:h val="0.46364562007153515"/>
        </c:manualLayout>
      </c:layout>
      <c:lineChart>
        <c:grouping val="standard"/>
        <c:varyColors val="0"/>
        <c:ser>
          <c:idx val="3"/>
          <c:order val="0"/>
          <c:tx>
            <c:strRef>
              <c:f>calculation!$BQ$67</c:f>
              <c:strCache>
                <c:ptCount val="1"/>
                <c:pt idx="0">
                  <c:v>total sentiment</c:v>
                </c:pt>
              </c:strCache>
            </c:strRef>
          </c:tx>
          <c:spPr>
            <a:ln w="28575" cap="rnd">
              <a:solidFill>
                <a:schemeClr val="bg1">
                  <a:lumMod val="85000"/>
                </a:schemeClr>
              </a:solidFill>
              <a:prstDash val="solid"/>
              <a:round/>
            </a:ln>
            <a:effectLst/>
          </c:spPr>
          <c:marker>
            <c:symbol val="circle"/>
            <c:size val="5"/>
            <c:spPr>
              <a:solidFill>
                <a:schemeClr val="bg1">
                  <a:lumMod val="85000"/>
                </a:schemeClr>
              </a:solidFill>
              <a:ln w="9525">
                <a:solidFill>
                  <a:schemeClr val="bg1">
                    <a:lumMod val="85000"/>
                  </a:schemeClr>
                </a:solidFill>
              </a:ln>
              <a:effectLst/>
            </c:spPr>
          </c:marker>
          <c:dLbls>
            <c:dLbl>
              <c:idx val="0"/>
              <c:tx>
                <c:rich>
                  <a:bodyPr/>
                  <a:lstStyle/>
                  <a:p>
                    <a:fld id="{F1DDD413-0DA8-4627-BA3D-B3EE91A85A46}" type="CELLRANGE">
                      <a:rPr lang="en-US"/>
                      <a:pPr/>
                      <a:t>[CELLRANGE]</a:t>
                    </a:fld>
                    <a:endParaRPr lang="en-ID"/>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F9F-43F8-BDE7-49C3348D238C}"/>
                </c:ext>
              </c:extLst>
            </c:dLbl>
            <c:dLbl>
              <c:idx val="1"/>
              <c:tx>
                <c:rich>
                  <a:bodyPr/>
                  <a:lstStyle/>
                  <a:p>
                    <a:fld id="{454E9A5C-205B-4BA5-B119-41D7185FC572}" type="CELLRANGE">
                      <a:rPr lang="en-ID"/>
                      <a:pPr/>
                      <a:t>[CELLRANGE]</a:t>
                    </a:fld>
                    <a:endParaRPr lang="en-ID"/>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F9F-43F8-BDE7-49C3348D238C}"/>
                </c:ext>
              </c:extLst>
            </c:dLbl>
            <c:dLbl>
              <c:idx val="2"/>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8F9F-43F8-BDE7-49C3348D238C}"/>
                </c:ext>
              </c:extLst>
            </c:dLbl>
            <c:dLbl>
              <c:idx val="3"/>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8F9F-43F8-BDE7-49C3348D238C}"/>
                </c:ext>
              </c:extLst>
            </c:dLbl>
            <c:dLbl>
              <c:idx val="4"/>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8F9F-43F8-BDE7-49C3348D238C}"/>
                </c:ext>
              </c:extLst>
            </c:dLbl>
            <c:dLbl>
              <c:idx val="5"/>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8F9F-43F8-BDE7-49C3348D238C}"/>
                </c:ext>
              </c:extLst>
            </c:dLbl>
            <c:dLbl>
              <c:idx val="6"/>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8F9F-43F8-BDE7-49C3348D238C}"/>
                </c:ext>
              </c:extLst>
            </c:dLbl>
            <c:dLbl>
              <c:idx val="7"/>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8F9F-43F8-BDE7-49C3348D238C}"/>
                </c:ext>
              </c:extLst>
            </c:dLbl>
            <c:dLbl>
              <c:idx val="8"/>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8F9F-43F8-BDE7-49C3348D238C}"/>
                </c:ext>
              </c:extLst>
            </c:dLbl>
            <c:dLbl>
              <c:idx val="9"/>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8F9F-43F8-BDE7-49C3348D238C}"/>
                </c:ext>
              </c:extLst>
            </c:dLbl>
            <c:dLbl>
              <c:idx val="10"/>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8F9F-43F8-BDE7-49C3348D238C}"/>
                </c:ext>
              </c:extLst>
            </c:dLbl>
            <c:dLbl>
              <c:idx val="11"/>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8F9F-43F8-BDE7-49C3348D238C}"/>
                </c:ext>
              </c:extLst>
            </c:dLbl>
            <c:dLbl>
              <c:idx val="12"/>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8F9F-43F8-BDE7-49C3348D238C}"/>
                </c:ext>
              </c:extLst>
            </c:dLbl>
            <c:dLbl>
              <c:idx val="13"/>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8F9F-43F8-BDE7-49C3348D238C}"/>
                </c:ext>
              </c:extLst>
            </c:dLbl>
            <c:dLbl>
              <c:idx val="14"/>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8F9F-43F8-BDE7-49C3348D238C}"/>
                </c:ext>
              </c:extLst>
            </c:dLbl>
            <c:dLbl>
              <c:idx val="15"/>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8F9F-43F8-BDE7-49C3348D238C}"/>
                </c:ext>
              </c:extLst>
            </c:dLbl>
            <c:dLbl>
              <c:idx val="16"/>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8F9F-43F8-BDE7-49C3348D238C}"/>
                </c:ext>
              </c:extLst>
            </c:dLbl>
            <c:dLbl>
              <c:idx val="17"/>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8F9F-43F8-BDE7-49C3348D238C}"/>
                </c:ext>
              </c:extLst>
            </c:dLbl>
            <c:dLbl>
              <c:idx val="18"/>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8F9F-43F8-BDE7-49C3348D238C}"/>
                </c:ext>
              </c:extLst>
            </c:dLbl>
            <c:dLbl>
              <c:idx val="19"/>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8F9F-43F8-BDE7-49C3348D238C}"/>
                </c:ext>
              </c:extLst>
            </c:dLbl>
            <c:dLbl>
              <c:idx val="20"/>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8F9F-43F8-BDE7-49C3348D238C}"/>
                </c:ext>
              </c:extLst>
            </c:dLbl>
            <c:dLbl>
              <c:idx val="21"/>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8F9F-43F8-BDE7-49C3348D238C}"/>
                </c:ext>
              </c:extLst>
            </c:dLbl>
            <c:dLbl>
              <c:idx val="22"/>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8F9F-43F8-BDE7-49C3348D238C}"/>
                </c:ext>
              </c:extLst>
            </c:dLbl>
            <c:dLbl>
              <c:idx val="23"/>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8F9F-43F8-BDE7-49C3348D238C}"/>
                </c:ext>
              </c:extLst>
            </c:dLbl>
            <c:dLbl>
              <c:idx val="24"/>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8F9F-43F8-BDE7-49C3348D238C}"/>
                </c:ext>
              </c:extLst>
            </c:dLbl>
            <c:dLbl>
              <c:idx val="25"/>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8F9F-43F8-BDE7-49C3348D238C}"/>
                </c:ext>
              </c:extLst>
            </c:dLbl>
            <c:dLbl>
              <c:idx val="26"/>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8F9F-43F8-BDE7-49C3348D238C}"/>
                </c:ext>
              </c:extLst>
            </c:dLbl>
            <c:dLbl>
              <c:idx val="27"/>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8F9F-43F8-BDE7-49C3348D238C}"/>
                </c:ext>
              </c:extLst>
            </c:dLbl>
            <c:dLbl>
              <c:idx val="28"/>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8F9F-43F8-BDE7-49C3348D238C}"/>
                </c:ext>
              </c:extLst>
            </c:dLbl>
            <c:dLbl>
              <c:idx val="29"/>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8F9F-43F8-BDE7-49C3348D238C}"/>
                </c:ext>
              </c:extLst>
            </c:dLbl>
            <c:dLbl>
              <c:idx val="30"/>
              <c:tx>
                <c:rich>
                  <a:bodyPr/>
                  <a:lstStyle/>
                  <a:p>
                    <a:endParaRPr lang="en-ID"/>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8F9F-43F8-BDE7-49C3348D238C}"/>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44197</c:v>
                </c:pt>
                <c:pt idx="1">
                  <c:v>44562</c:v>
                </c:pt>
              </c:numCache>
            </c:numRef>
          </c:cat>
          <c:val>
            <c:numRef>
              <c:f>calculation!$BQ$68:$BQ$98</c:f>
              <c:numCache>
                <c:formatCode>General</c:formatCode>
                <c:ptCount val="31"/>
                <c:pt idx="0">
                  <c:v>2</c:v>
                </c:pt>
                <c:pt idx="1">
                  <c:v>3</c:v>
                </c:pt>
              </c:numCache>
            </c:numRef>
          </c:val>
          <c:smooth val="0"/>
          <c:extLst>
            <c:ext xmlns:c15="http://schemas.microsoft.com/office/drawing/2012/chart" uri="{02D57815-91ED-43cb-92C2-25804820EDAC}">
              <c15:datalabelsRange>
                <c15:f>calculation!$BR$68:$BR$98</c15:f>
                <c15:dlblRangeCache>
                  <c:ptCount val="31"/>
                  <c:pt idx="0">
                    <c:v>2</c:v>
                  </c:pt>
                  <c:pt idx="1">
                    <c:v>3</c:v>
                  </c:pt>
                </c15:dlblRangeCache>
              </c15:datalabelsRange>
            </c:ext>
            <c:ext xmlns:c16="http://schemas.microsoft.com/office/drawing/2014/chart" uri="{C3380CC4-5D6E-409C-BE32-E72D297353CC}">
              <c16:uniqueId val="{0000001F-8F9F-43F8-BDE7-49C3348D238C}"/>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0"/>
        <c:axPos val="b"/>
        <c:numFmt formatCode="yyyy\-mm\-dd;@" sourceLinked="1"/>
        <c:majorTickMark val="out"/>
        <c:minorTickMark val="none"/>
        <c:tickLblPos val="nextTo"/>
        <c:spPr>
          <a:noFill/>
          <a:ln w="12700" cap="flat" cmpd="sng" algn="ctr">
            <a:solidFill>
              <a:schemeClr val="bg1">
                <a:lumMod val="95000"/>
              </a:schemeClr>
            </a:solidFill>
            <a:prstDash val="solid"/>
            <a:round/>
          </a:ln>
          <a:effectLst/>
        </c:spPr>
        <c:txPr>
          <a:bodyPr rot="-5400000" spcFirstLastPara="1" vertOverflow="ellipsis" wrap="square" anchor="t" anchorCtr="0"/>
          <a:lstStyle/>
          <a:p>
            <a:pPr>
              <a:defRPr sz="900" b="0" i="0" u="none" strike="noStrike" kern="1200" baseline="0">
                <a:ln>
                  <a:noFill/>
                </a:ln>
                <a:solidFill>
                  <a:schemeClr val="tx1"/>
                </a:solidFill>
                <a:latin typeface="+mn-lt"/>
                <a:ea typeface="+mn-ea"/>
                <a:cs typeface="+mn-cs"/>
              </a:defRPr>
            </a:pPr>
            <a:endParaRPr lang="en-US"/>
          </a:p>
        </c:txPr>
        <c:crossAx val="1247242688"/>
        <c:crosses val="autoZero"/>
        <c:auto val="0"/>
        <c:lblOffset val="100"/>
        <c:baseTimeUnit val="years"/>
      </c:dateAx>
      <c:valAx>
        <c:axId val="1247242688"/>
        <c:scaling>
          <c:orientation val="minMax"/>
        </c:scaling>
        <c:delete val="1"/>
        <c:axPos val="l"/>
        <c:numFmt formatCode="General" sourceLinked="1"/>
        <c:majorTickMark val="out"/>
        <c:minorTickMark val="none"/>
        <c:tickLblPos val="nextTo"/>
        <c:crossAx val="110538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calculation!$BM$67</c:f>
              <c:strCache>
                <c:ptCount val="1"/>
                <c:pt idx="0">
                  <c:v>positive</c:v>
                </c:pt>
              </c:strCache>
            </c:strRef>
          </c:tx>
          <c:spPr>
            <a:solidFill>
              <a:srgbClr val="70CD53"/>
            </a:solidFill>
            <a:ln>
              <a:noFill/>
            </a:ln>
            <a:effectLst/>
          </c:spPr>
          <c:invertIfNegative val="0"/>
          <c:dLbls>
            <c:dLbl>
              <c:idx val="0"/>
              <c:tx>
                <c:rich>
                  <a:bodyPr/>
                  <a:lstStyle/>
                  <a:p>
                    <a:fld id="{1370EEB3-F06D-48A8-ABBF-07A53BC4D3F6}" type="CELLRANGE">
                      <a:rPr lang="en-US"/>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48E-448C-B826-0CF7FF08DA4A}"/>
                </c:ext>
              </c:extLst>
            </c:dLbl>
            <c:dLbl>
              <c:idx val="1"/>
              <c:tx>
                <c:rich>
                  <a:bodyPr/>
                  <a:lstStyle/>
                  <a:p>
                    <a:fld id="{F3A1CE5D-04BF-4169-8732-A26DE8F02719}" type="CELLRANGE">
                      <a:rPr lang="en-US"/>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D48E-448C-B826-0CF7FF08DA4A}"/>
                </c:ext>
              </c:extLst>
            </c:dLbl>
            <c:dLbl>
              <c:idx val="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D48E-448C-B826-0CF7FF08DA4A}"/>
                </c:ext>
              </c:extLst>
            </c:dLbl>
            <c:dLbl>
              <c:idx val="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D48E-448C-B826-0CF7FF08DA4A}"/>
                </c:ext>
              </c:extLst>
            </c:dLbl>
            <c:dLbl>
              <c:idx val="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D48E-448C-B826-0CF7FF08DA4A}"/>
                </c:ext>
              </c:extLst>
            </c:dLbl>
            <c:dLbl>
              <c:idx val="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D48E-448C-B826-0CF7FF08DA4A}"/>
                </c:ext>
              </c:extLst>
            </c:dLbl>
            <c:dLbl>
              <c:idx val="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D48E-448C-B826-0CF7FF08DA4A}"/>
                </c:ext>
              </c:extLst>
            </c:dLbl>
            <c:dLbl>
              <c:idx val="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D48E-448C-B826-0CF7FF08DA4A}"/>
                </c:ext>
              </c:extLst>
            </c:dLbl>
            <c:dLbl>
              <c:idx val="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D48E-448C-B826-0CF7FF08DA4A}"/>
                </c:ext>
              </c:extLst>
            </c:dLbl>
            <c:dLbl>
              <c:idx val="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D48E-448C-B826-0CF7FF08DA4A}"/>
                </c:ext>
              </c:extLst>
            </c:dLbl>
            <c:dLbl>
              <c:idx val="1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D48E-448C-B826-0CF7FF08DA4A}"/>
                </c:ext>
              </c:extLst>
            </c:dLbl>
            <c:dLbl>
              <c:idx val="11"/>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D48E-448C-B826-0CF7FF08DA4A}"/>
                </c:ext>
              </c:extLst>
            </c:dLbl>
            <c:dLbl>
              <c:idx val="1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D48E-448C-B826-0CF7FF08DA4A}"/>
                </c:ext>
              </c:extLst>
            </c:dLbl>
            <c:dLbl>
              <c:idx val="1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D48E-448C-B826-0CF7FF08DA4A}"/>
                </c:ext>
              </c:extLst>
            </c:dLbl>
            <c:dLbl>
              <c:idx val="1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D48E-448C-B826-0CF7FF08DA4A}"/>
                </c:ext>
              </c:extLst>
            </c:dLbl>
            <c:dLbl>
              <c:idx val="1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D48E-448C-B826-0CF7FF08DA4A}"/>
                </c:ext>
              </c:extLst>
            </c:dLbl>
            <c:dLbl>
              <c:idx val="1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D48E-448C-B826-0CF7FF08DA4A}"/>
                </c:ext>
              </c:extLst>
            </c:dLbl>
            <c:dLbl>
              <c:idx val="1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D48E-448C-B826-0CF7FF08DA4A}"/>
                </c:ext>
              </c:extLst>
            </c:dLbl>
            <c:dLbl>
              <c:idx val="1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D48E-448C-B826-0CF7FF08DA4A}"/>
                </c:ext>
              </c:extLst>
            </c:dLbl>
            <c:dLbl>
              <c:idx val="1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D48E-448C-B826-0CF7FF08DA4A}"/>
                </c:ext>
              </c:extLst>
            </c:dLbl>
            <c:dLbl>
              <c:idx val="2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D48E-448C-B826-0CF7FF08DA4A}"/>
                </c:ext>
              </c:extLst>
            </c:dLbl>
            <c:dLbl>
              <c:idx val="21"/>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D48E-448C-B826-0CF7FF08DA4A}"/>
                </c:ext>
              </c:extLst>
            </c:dLbl>
            <c:dLbl>
              <c:idx val="2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D48E-448C-B826-0CF7FF08DA4A}"/>
                </c:ext>
              </c:extLst>
            </c:dLbl>
            <c:dLbl>
              <c:idx val="2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D48E-448C-B826-0CF7FF08DA4A}"/>
                </c:ext>
              </c:extLst>
            </c:dLbl>
            <c:dLbl>
              <c:idx val="2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D48E-448C-B826-0CF7FF08DA4A}"/>
                </c:ext>
              </c:extLst>
            </c:dLbl>
            <c:dLbl>
              <c:idx val="2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D48E-448C-B826-0CF7FF08DA4A}"/>
                </c:ext>
              </c:extLst>
            </c:dLbl>
            <c:dLbl>
              <c:idx val="2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D48E-448C-B826-0CF7FF08DA4A}"/>
                </c:ext>
              </c:extLst>
            </c:dLbl>
            <c:dLbl>
              <c:idx val="2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D48E-448C-B826-0CF7FF08DA4A}"/>
                </c:ext>
              </c:extLst>
            </c:dLbl>
            <c:dLbl>
              <c:idx val="2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D48E-448C-B826-0CF7FF08DA4A}"/>
                </c:ext>
              </c:extLst>
            </c:dLbl>
            <c:dLbl>
              <c:idx val="2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D48E-448C-B826-0CF7FF08DA4A}"/>
                </c:ext>
              </c:extLst>
            </c:dLbl>
            <c:dLbl>
              <c:idx val="3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D48E-448C-B826-0CF7FF08DA4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44197</c:v>
                </c:pt>
                <c:pt idx="1">
                  <c:v>44562</c:v>
                </c:pt>
              </c:numCache>
            </c:numRef>
          </c:cat>
          <c:val>
            <c:numRef>
              <c:f>calculation!$BM$68:$BM$98</c:f>
              <c:numCache>
                <c:formatCode>General</c:formatCode>
                <c:ptCount val="31"/>
                <c:pt idx="0">
                  <c:v>0</c:v>
                </c:pt>
                <c:pt idx="1">
                  <c:v>0</c:v>
                </c:pt>
              </c:numCache>
            </c:numRef>
          </c:val>
          <c:extLst>
            <c:ext xmlns:c15="http://schemas.microsoft.com/office/drawing/2012/chart" uri="{02D57815-91ED-43cb-92C2-25804820EDAC}">
              <c15:datalabelsRange>
                <c15:f>calculation!$BS$68:$BS$98</c15:f>
                <c15:dlblRangeCache>
                  <c:ptCount val="31"/>
                </c15:dlblRangeCache>
              </c15:datalabelsRange>
            </c:ext>
            <c:ext xmlns:c16="http://schemas.microsoft.com/office/drawing/2014/chart" uri="{C3380CC4-5D6E-409C-BE32-E72D297353CC}">
              <c16:uniqueId val="{0000001F-D48E-448C-B826-0CF7FF08DA4A}"/>
            </c:ext>
          </c:extLst>
        </c:ser>
        <c:ser>
          <c:idx val="1"/>
          <c:order val="1"/>
          <c:tx>
            <c:strRef>
              <c:f>calculation!$BN$67</c:f>
              <c:strCache>
                <c:ptCount val="1"/>
                <c:pt idx="0">
                  <c:v>neutral</c:v>
                </c:pt>
              </c:strCache>
            </c:strRef>
          </c:tx>
          <c:spPr>
            <a:solidFill>
              <a:srgbClr val="F8F200"/>
            </a:solidFill>
            <a:ln>
              <a:noFill/>
            </a:ln>
            <a:effectLst/>
          </c:spPr>
          <c:invertIfNegative val="0"/>
          <c:dLbls>
            <c:dLbl>
              <c:idx val="0"/>
              <c:tx>
                <c:rich>
                  <a:bodyPr/>
                  <a:lstStyle/>
                  <a:p>
                    <a:fld id="{FFC1750D-FDFD-40AE-94A5-716B8A5D7715}" type="CELLRANGE">
                      <a:rPr lang="en-US"/>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0-D48E-448C-B826-0CF7FF08DA4A}"/>
                </c:ext>
              </c:extLst>
            </c:dLbl>
            <c:dLbl>
              <c:idx val="1"/>
              <c:tx>
                <c:rich>
                  <a:bodyPr/>
                  <a:lstStyle/>
                  <a:p>
                    <a:fld id="{AB343CCA-AE99-47BA-BA68-8B2D49F19BED}" type="CELLRANGE">
                      <a:rPr lang="en-US"/>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1-D48E-448C-B826-0CF7FF08DA4A}"/>
                </c:ext>
              </c:extLst>
            </c:dLbl>
            <c:dLbl>
              <c:idx val="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D48E-448C-B826-0CF7FF08DA4A}"/>
                </c:ext>
              </c:extLst>
            </c:dLbl>
            <c:dLbl>
              <c:idx val="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D48E-448C-B826-0CF7FF08DA4A}"/>
                </c:ext>
              </c:extLst>
            </c:dLbl>
            <c:dLbl>
              <c:idx val="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D48E-448C-B826-0CF7FF08DA4A}"/>
                </c:ext>
              </c:extLst>
            </c:dLbl>
            <c:dLbl>
              <c:idx val="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D48E-448C-B826-0CF7FF08DA4A}"/>
                </c:ext>
              </c:extLst>
            </c:dLbl>
            <c:dLbl>
              <c:idx val="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D48E-448C-B826-0CF7FF08DA4A}"/>
                </c:ext>
              </c:extLst>
            </c:dLbl>
            <c:dLbl>
              <c:idx val="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D48E-448C-B826-0CF7FF08DA4A}"/>
                </c:ext>
              </c:extLst>
            </c:dLbl>
            <c:dLbl>
              <c:idx val="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D48E-448C-B826-0CF7FF08DA4A}"/>
                </c:ext>
              </c:extLst>
            </c:dLbl>
            <c:dLbl>
              <c:idx val="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D48E-448C-B826-0CF7FF08DA4A}"/>
                </c:ext>
              </c:extLst>
            </c:dLbl>
            <c:dLbl>
              <c:idx val="1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D48E-448C-B826-0CF7FF08DA4A}"/>
                </c:ext>
              </c:extLst>
            </c:dLbl>
            <c:dLbl>
              <c:idx val="11"/>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D48E-448C-B826-0CF7FF08DA4A}"/>
                </c:ext>
              </c:extLst>
            </c:dLbl>
            <c:dLbl>
              <c:idx val="1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D48E-448C-B826-0CF7FF08DA4A}"/>
                </c:ext>
              </c:extLst>
            </c:dLbl>
            <c:dLbl>
              <c:idx val="1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D48E-448C-B826-0CF7FF08DA4A}"/>
                </c:ext>
              </c:extLst>
            </c:dLbl>
            <c:dLbl>
              <c:idx val="1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D48E-448C-B826-0CF7FF08DA4A}"/>
                </c:ext>
              </c:extLst>
            </c:dLbl>
            <c:dLbl>
              <c:idx val="1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D48E-448C-B826-0CF7FF08DA4A}"/>
                </c:ext>
              </c:extLst>
            </c:dLbl>
            <c:dLbl>
              <c:idx val="1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D48E-448C-B826-0CF7FF08DA4A}"/>
                </c:ext>
              </c:extLst>
            </c:dLbl>
            <c:dLbl>
              <c:idx val="1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D48E-448C-B826-0CF7FF08DA4A}"/>
                </c:ext>
              </c:extLst>
            </c:dLbl>
            <c:dLbl>
              <c:idx val="1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D48E-448C-B826-0CF7FF08DA4A}"/>
                </c:ext>
              </c:extLst>
            </c:dLbl>
            <c:dLbl>
              <c:idx val="1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D48E-448C-B826-0CF7FF08DA4A}"/>
                </c:ext>
              </c:extLst>
            </c:dLbl>
            <c:dLbl>
              <c:idx val="2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D48E-448C-B826-0CF7FF08DA4A}"/>
                </c:ext>
              </c:extLst>
            </c:dLbl>
            <c:dLbl>
              <c:idx val="21"/>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D48E-448C-B826-0CF7FF08DA4A}"/>
                </c:ext>
              </c:extLst>
            </c:dLbl>
            <c:dLbl>
              <c:idx val="2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D48E-448C-B826-0CF7FF08DA4A}"/>
                </c:ext>
              </c:extLst>
            </c:dLbl>
            <c:dLbl>
              <c:idx val="2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D48E-448C-B826-0CF7FF08DA4A}"/>
                </c:ext>
              </c:extLst>
            </c:dLbl>
            <c:dLbl>
              <c:idx val="2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D48E-448C-B826-0CF7FF08DA4A}"/>
                </c:ext>
              </c:extLst>
            </c:dLbl>
            <c:dLbl>
              <c:idx val="2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D48E-448C-B826-0CF7FF08DA4A}"/>
                </c:ext>
              </c:extLst>
            </c:dLbl>
            <c:dLbl>
              <c:idx val="2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D48E-448C-B826-0CF7FF08DA4A}"/>
                </c:ext>
              </c:extLst>
            </c:dLbl>
            <c:dLbl>
              <c:idx val="2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D48E-448C-B826-0CF7FF08DA4A}"/>
                </c:ext>
              </c:extLst>
            </c:dLbl>
            <c:dLbl>
              <c:idx val="2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D48E-448C-B826-0CF7FF08DA4A}"/>
                </c:ext>
              </c:extLst>
            </c:dLbl>
            <c:dLbl>
              <c:idx val="2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D48E-448C-B826-0CF7FF08DA4A}"/>
                </c:ext>
              </c:extLst>
            </c:dLbl>
            <c:dLbl>
              <c:idx val="3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D48E-448C-B826-0CF7FF08DA4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44197</c:v>
                </c:pt>
                <c:pt idx="1">
                  <c:v>44562</c:v>
                </c:pt>
              </c:numCache>
            </c:numRef>
          </c:cat>
          <c:val>
            <c:numRef>
              <c:f>calculation!$BN$68:$BN$98</c:f>
              <c:numCache>
                <c:formatCode>General</c:formatCode>
                <c:ptCount val="31"/>
                <c:pt idx="0">
                  <c:v>1</c:v>
                </c:pt>
                <c:pt idx="1">
                  <c:v>0</c:v>
                </c:pt>
              </c:numCache>
            </c:numRef>
          </c:val>
          <c:extLst>
            <c:ext xmlns:c15="http://schemas.microsoft.com/office/drawing/2012/chart" uri="{02D57815-91ED-43cb-92C2-25804820EDAC}">
              <c15:datalabelsRange>
                <c15:f>calculation!$BT$68:$BT$98</c15:f>
                <c15:dlblRangeCache>
                  <c:ptCount val="31"/>
                  <c:pt idx="0">
                    <c:v>50%</c:v>
                  </c:pt>
                </c15:dlblRangeCache>
              </c15:datalabelsRange>
            </c:ext>
            <c:ext xmlns:c16="http://schemas.microsoft.com/office/drawing/2014/chart" uri="{C3380CC4-5D6E-409C-BE32-E72D297353CC}">
              <c16:uniqueId val="{0000003F-D48E-448C-B826-0CF7FF08DA4A}"/>
            </c:ext>
          </c:extLst>
        </c:ser>
        <c:ser>
          <c:idx val="2"/>
          <c:order val="2"/>
          <c:tx>
            <c:strRef>
              <c:f>calculation!$BO$67</c:f>
              <c:strCache>
                <c:ptCount val="1"/>
                <c:pt idx="0">
                  <c:v>negative</c:v>
                </c:pt>
              </c:strCache>
            </c:strRef>
          </c:tx>
          <c:spPr>
            <a:solidFill>
              <a:srgbClr val="C00000"/>
            </a:solidFill>
            <a:ln>
              <a:noFill/>
            </a:ln>
            <a:effectLst/>
          </c:spPr>
          <c:invertIfNegative val="0"/>
          <c:dLbls>
            <c:dLbl>
              <c:idx val="0"/>
              <c:tx>
                <c:rich>
                  <a:bodyPr/>
                  <a:lstStyle/>
                  <a:p>
                    <a:fld id="{5E12FD40-10E7-45C6-B963-C0D20DA77F0A}" type="CELLRANGE">
                      <a:rPr lang="en-US"/>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0-D48E-448C-B826-0CF7FF08DA4A}"/>
                </c:ext>
              </c:extLst>
            </c:dLbl>
            <c:dLbl>
              <c:idx val="1"/>
              <c:tx>
                <c:rich>
                  <a:bodyPr/>
                  <a:lstStyle/>
                  <a:p>
                    <a:fld id="{493C7698-650C-4292-865E-ED3A80464554}" type="CELLRANGE">
                      <a:rPr lang="en-ID"/>
                      <a:pPr/>
                      <a:t>[CELLRANGE]</a:t>
                    </a:fld>
                    <a:endParaRPr lang="en-ID"/>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1-D48E-448C-B826-0CF7FF08DA4A}"/>
                </c:ext>
              </c:extLst>
            </c:dLbl>
            <c:dLbl>
              <c:idx val="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D48E-448C-B826-0CF7FF08DA4A}"/>
                </c:ext>
              </c:extLst>
            </c:dLbl>
            <c:dLbl>
              <c:idx val="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D48E-448C-B826-0CF7FF08DA4A}"/>
                </c:ext>
              </c:extLst>
            </c:dLbl>
            <c:dLbl>
              <c:idx val="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D48E-448C-B826-0CF7FF08DA4A}"/>
                </c:ext>
              </c:extLst>
            </c:dLbl>
            <c:dLbl>
              <c:idx val="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D48E-448C-B826-0CF7FF08DA4A}"/>
                </c:ext>
              </c:extLst>
            </c:dLbl>
            <c:dLbl>
              <c:idx val="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D48E-448C-B826-0CF7FF08DA4A}"/>
                </c:ext>
              </c:extLst>
            </c:dLbl>
            <c:dLbl>
              <c:idx val="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7-D48E-448C-B826-0CF7FF08DA4A}"/>
                </c:ext>
              </c:extLst>
            </c:dLbl>
            <c:dLbl>
              <c:idx val="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D48E-448C-B826-0CF7FF08DA4A}"/>
                </c:ext>
              </c:extLst>
            </c:dLbl>
            <c:dLbl>
              <c:idx val="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D48E-448C-B826-0CF7FF08DA4A}"/>
                </c:ext>
              </c:extLst>
            </c:dLbl>
            <c:dLbl>
              <c:idx val="1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D48E-448C-B826-0CF7FF08DA4A}"/>
                </c:ext>
              </c:extLst>
            </c:dLbl>
            <c:dLbl>
              <c:idx val="11"/>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D48E-448C-B826-0CF7FF08DA4A}"/>
                </c:ext>
              </c:extLst>
            </c:dLbl>
            <c:dLbl>
              <c:idx val="1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D48E-448C-B826-0CF7FF08DA4A}"/>
                </c:ext>
              </c:extLst>
            </c:dLbl>
            <c:dLbl>
              <c:idx val="1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D48E-448C-B826-0CF7FF08DA4A}"/>
                </c:ext>
              </c:extLst>
            </c:dLbl>
            <c:dLbl>
              <c:idx val="1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D48E-448C-B826-0CF7FF08DA4A}"/>
                </c:ext>
              </c:extLst>
            </c:dLbl>
            <c:dLbl>
              <c:idx val="1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D48E-448C-B826-0CF7FF08DA4A}"/>
                </c:ext>
              </c:extLst>
            </c:dLbl>
            <c:dLbl>
              <c:idx val="1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D48E-448C-B826-0CF7FF08DA4A}"/>
                </c:ext>
              </c:extLst>
            </c:dLbl>
            <c:dLbl>
              <c:idx val="1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D48E-448C-B826-0CF7FF08DA4A}"/>
                </c:ext>
              </c:extLst>
            </c:dLbl>
            <c:dLbl>
              <c:idx val="1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D48E-448C-B826-0CF7FF08DA4A}"/>
                </c:ext>
              </c:extLst>
            </c:dLbl>
            <c:dLbl>
              <c:idx val="1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D48E-448C-B826-0CF7FF08DA4A}"/>
                </c:ext>
              </c:extLst>
            </c:dLbl>
            <c:dLbl>
              <c:idx val="2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D48E-448C-B826-0CF7FF08DA4A}"/>
                </c:ext>
              </c:extLst>
            </c:dLbl>
            <c:dLbl>
              <c:idx val="21"/>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D48E-448C-B826-0CF7FF08DA4A}"/>
                </c:ext>
              </c:extLst>
            </c:dLbl>
            <c:dLbl>
              <c:idx val="22"/>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D48E-448C-B826-0CF7FF08DA4A}"/>
                </c:ext>
              </c:extLst>
            </c:dLbl>
            <c:dLbl>
              <c:idx val="23"/>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D48E-448C-B826-0CF7FF08DA4A}"/>
                </c:ext>
              </c:extLst>
            </c:dLbl>
            <c:dLbl>
              <c:idx val="24"/>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D48E-448C-B826-0CF7FF08DA4A}"/>
                </c:ext>
              </c:extLst>
            </c:dLbl>
            <c:dLbl>
              <c:idx val="25"/>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D48E-448C-B826-0CF7FF08DA4A}"/>
                </c:ext>
              </c:extLst>
            </c:dLbl>
            <c:dLbl>
              <c:idx val="26"/>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D48E-448C-B826-0CF7FF08DA4A}"/>
                </c:ext>
              </c:extLst>
            </c:dLbl>
            <c:dLbl>
              <c:idx val="27"/>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D48E-448C-B826-0CF7FF08DA4A}"/>
                </c:ext>
              </c:extLst>
            </c:dLbl>
            <c:dLbl>
              <c:idx val="28"/>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D48E-448C-B826-0CF7FF08DA4A}"/>
                </c:ext>
              </c:extLst>
            </c:dLbl>
            <c:dLbl>
              <c:idx val="29"/>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D48E-448C-B826-0CF7FF08DA4A}"/>
                </c:ext>
              </c:extLst>
            </c:dLbl>
            <c:dLbl>
              <c:idx val="30"/>
              <c:tx>
                <c:rich>
                  <a:bodyPr/>
                  <a:lstStyle/>
                  <a:p>
                    <a:endParaRPr lang="en-ID"/>
                  </a:p>
                </c:rich>
              </c:tx>
              <c:dLblPos val="in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D48E-448C-B826-0CF7FF08DA4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44197</c:v>
                </c:pt>
                <c:pt idx="1">
                  <c:v>44562</c:v>
                </c:pt>
              </c:numCache>
            </c:numRef>
          </c:cat>
          <c:val>
            <c:numRef>
              <c:f>calculation!$BO$68:$BO$98</c:f>
              <c:numCache>
                <c:formatCode>General</c:formatCode>
                <c:ptCount val="31"/>
                <c:pt idx="0">
                  <c:v>1</c:v>
                </c:pt>
                <c:pt idx="1">
                  <c:v>3</c:v>
                </c:pt>
              </c:numCache>
            </c:numRef>
          </c:val>
          <c:extLst>
            <c:ext xmlns:c15="http://schemas.microsoft.com/office/drawing/2012/chart" uri="{02D57815-91ED-43cb-92C2-25804820EDAC}">
              <c15:datalabelsRange>
                <c15:f>calculation!$BU$68:$BU$98</c15:f>
                <c15:dlblRangeCache>
                  <c:ptCount val="31"/>
                  <c:pt idx="0">
                    <c:v>50%</c:v>
                  </c:pt>
                  <c:pt idx="1">
                    <c:v>100%</c:v>
                  </c:pt>
                </c15:dlblRangeCache>
              </c15:datalabelsRange>
            </c:ext>
            <c:ext xmlns:c16="http://schemas.microsoft.com/office/drawing/2014/chart" uri="{C3380CC4-5D6E-409C-BE32-E72D297353CC}">
              <c16:uniqueId val="{0000005F-D48E-448C-B826-0CF7FF08DA4A}"/>
            </c:ext>
          </c:extLst>
        </c:ser>
        <c:dLbls>
          <c:showLegendKey val="0"/>
          <c:showVal val="0"/>
          <c:showCatName val="0"/>
          <c:showSerName val="0"/>
          <c:showPercent val="0"/>
          <c:showBubbleSize val="0"/>
        </c:dLbls>
        <c:gapWidth val="75"/>
        <c:overlap val="100"/>
        <c:axId val="1105380432"/>
        <c:axId val="1247242688"/>
      </c:barChart>
      <c:lineChart>
        <c:grouping val="standard"/>
        <c:varyColors val="0"/>
        <c:ser>
          <c:idx val="3"/>
          <c:order val="3"/>
          <c:tx>
            <c:strRef>
              <c:f>calculation!$BQ$67</c:f>
              <c:strCache>
                <c:ptCount val="1"/>
                <c:pt idx="0">
                  <c:v>total sentiment</c:v>
                </c:pt>
              </c:strCache>
            </c:strRef>
          </c:tx>
          <c:spPr>
            <a:ln w="28575" cap="rnd">
              <a:solidFill>
                <a:schemeClr val="bg1">
                  <a:lumMod val="85000"/>
                </a:schemeClr>
              </a:solidFill>
              <a:round/>
            </a:ln>
            <a:effectLst/>
          </c:spPr>
          <c:marker>
            <c:symbol val="circle"/>
            <c:size val="5"/>
            <c:spPr>
              <a:solidFill>
                <a:schemeClr val="bg1">
                  <a:lumMod val="85000"/>
                </a:schemeClr>
              </a:solidFill>
              <a:ln w="9525">
                <a:solidFill>
                  <a:schemeClr val="bg1">
                    <a:lumMod val="85000"/>
                  </a:schemeClr>
                </a:solidFill>
              </a:ln>
              <a:effectLst/>
            </c:spPr>
          </c:marker>
          <c:cat>
            <c:numRef>
              <c:f>calculation!$BL$68:$BL$98</c:f>
              <c:numCache>
                <c:formatCode>yyyy\-mm\-dd;@</c:formatCode>
                <c:ptCount val="31"/>
                <c:pt idx="0">
                  <c:v>44197</c:v>
                </c:pt>
                <c:pt idx="1">
                  <c:v>44562</c:v>
                </c:pt>
              </c:numCache>
            </c:numRef>
          </c:cat>
          <c:val>
            <c:numRef>
              <c:f>calculation!$BV$68:$BV$98</c:f>
              <c:numCache>
                <c:formatCode>0%</c:formatCode>
                <c:ptCount val="3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val>
          <c:smooth val="0"/>
          <c:extLst>
            <c:ext xmlns:c16="http://schemas.microsoft.com/office/drawing/2014/chart" uri="{C3380CC4-5D6E-409C-BE32-E72D297353CC}">
              <c16:uniqueId val="{00000060-D48E-448C-B826-0CF7FF08DA4A}"/>
            </c:ext>
          </c:extLst>
        </c:ser>
        <c:ser>
          <c:idx val="4"/>
          <c:order val="4"/>
          <c:tx>
            <c:v>total</c:v>
          </c:tx>
          <c:spPr>
            <a:ln w="28575" cap="rnd">
              <a:noFill/>
              <a:round/>
            </a:ln>
            <a:effectLst/>
          </c:spPr>
          <c:marker>
            <c:symbol val="circle"/>
            <c:size val="5"/>
            <c:spPr>
              <a:noFill/>
              <a:ln w="9525">
                <a:noFill/>
              </a:ln>
              <a:effectLst/>
            </c:spPr>
          </c:marker>
          <c:dLbls>
            <c:dLbl>
              <c:idx val="0"/>
              <c:tx>
                <c:rich>
                  <a:bodyPr/>
                  <a:lstStyle/>
                  <a:p>
                    <a:fld id="{71515833-087D-472D-8E28-9896C607F240}" type="CELLRANGE">
                      <a:rPr lang="en-US"/>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1753-4521-8460-50BBBC899A85}"/>
                </c:ext>
              </c:extLst>
            </c:dLbl>
            <c:dLbl>
              <c:idx val="1"/>
              <c:tx>
                <c:rich>
                  <a:bodyPr/>
                  <a:lstStyle/>
                  <a:p>
                    <a:fld id="{5CD47A34-D227-43DD-83C3-388E0C600821}"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1753-4521-8460-50BBBC899A85}"/>
                </c:ext>
              </c:extLst>
            </c:dLbl>
            <c:dLbl>
              <c:idx val="2"/>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1753-4521-8460-50BBBC899A85}"/>
                </c:ext>
              </c:extLst>
            </c:dLbl>
            <c:dLbl>
              <c:idx val="3"/>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1753-4521-8460-50BBBC899A85}"/>
                </c:ext>
              </c:extLst>
            </c:dLbl>
            <c:dLbl>
              <c:idx val="4"/>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1753-4521-8460-50BBBC899A85}"/>
                </c:ext>
              </c:extLst>
            </c:dLbl>
            <c:dLbl>
              <c:idx val="5"/>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1753-4521-8460-50BBBC899A85}"/>
                </c:ext>
              </c:extLst>
            </c:dLbl>
            <c:dLbl>
              <c:idx val="6"/>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1753-4521-8460-50BBBC899A85}"/>
                </c:ext>
              </c:extLst>
            </c:dLbl>
            <c:dLbl>
              <c:idx val="7"/>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1753-4521-8460-50BBBC899A85}"/>
                </c:ext>
              </c:extLst>
            </c:dLbl>
            <c:dLbl>
              <c:idx val="8"/>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1753-4521-8460-50BBBC899A85}"/>
                </c:ext>
              </c:extLst>
            </c:dLbl>
            <c:dLbl>
              <c:idx val="9"/>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1753-4521-8460-50BBBC899A85}"/>
                </c:ext>
              </c:extLst>
            </c:dLbl>
            <c:dLbl>
              <c:idx val="10"/>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1753-4521-8460-50BBBC899A85}"/>
                </c:ext>
              </c:extLst>
            </c:dLbl>
            <c:dLbl>
              <c:idx val="11"/>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1753-4521-8460-50BBBC899A85}"/>
                </c:ext>
              </c:extLst>
            </c:dLbl>
            <c:dLbl>
              <c:idx val="12"/>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1753-4521-8460-50BBBC899A85}"/>
                </c:ext>
              </c:extLst>
            </c:dLbl>
            <c:dLbl>
              <c:idx val="13"/>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1753-4521-8460-50BBBC899A85}"/>
                </c:ext>
              </c:extLst>
            </c:dLbl>
            <c:dLbl>
              <c:idx val="14"/>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1753-4521-8460-50BBBC899A85}"/>
                </c:ext>
              </c:extLst>
            </c:dLbl>
            <c:dLbl>
              <c:idx val="15"/>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1753-4521-8460-50BBBC899A85}"/>
                </c:ext>
              </c:extLst>
            </c:dLbl>
            <c:dLbl>
              <c:idx val="16"/>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1753-4521-8460-50BBBC899A85}"/>
                </c:ext>
              </c:extLst>
            </c:dLbl>
            <c:dLbl>
              <c:idx val="17"/>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1753-4521-8460-50BBBC899A85}"/>
                </c:ext>
              </c:extLst>
            </c:dLbl>
            <c:dLbl>
              <c:idx val="18"/>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1753-4521-8460-50BBBC899A85}"/>
                </c:ext>
              </c:extLst>
            </c:dLbl>
            <c:dLbl>
              <c:idx val="19"/>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1753-4521-8460-50BBBC899A85}"/>
                </c:ext>
              </c:extLst>
            </c:dLbl>
            <c:dLbl>
              <c:idx val="20"/>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1753-4521-8460-50BBBC899A85}"/>
                </c:ext>
              </c:extLst>
            </c:dLbl>
            <c:dLbl>
              <c:idx val="21"/>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1753-4521-8460-50BBBC899A85}"/>
                </c:ext>
              </c:extLst>
            </c:dLbl>
            <c:dLbl>
              <c:idx val="22"/>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1753-4521-8460-50BBBC899A85}"/>
                </c:ext>
              </c:extLst>
            </c:dLbl>
            <c:dLbl>
              <c:idx val="23"/>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1753-4521-8460-50BBBC899A85}"/>
                </c:ext>
              </c:extLst>
            </c:dLbl>
            <c:dLbl>
              <c:idx val="24"/>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1753-4521-8460-50BBBC899A85}"/>
                </c:ext>
              </c:extLst>
            </c:dLbl>
            <c:dLbl>
              <c:idx val="25"/>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1753-4521-8460-50BBBC899A85}"/>
                </c:ext>
              </c:extLst>
            </c:dLbl>
            <c:dLbl>
              <c:idx val="26"/>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1753-4521-8460-50BBBC899A85}"/>
                </c:ext>
              </c:extLst>
            </c:dLbl>
            <c:dLbl>
              <c:idx val="27"/>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1753-4521-8460-50BBBC899A85}"/>
                </c:ext>
              </c:extLst>
            </c:dLbl>
            <c:dLbl>
              <c:idx val="28"/>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1753-4521-8460-50BBBC899A85}"/>
                </c:ext>
              </c:extLst>
            </c:dLbl>
            <c:dLbl>
              <c:idx val="29"/>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1753-4521-8460-50BBBC899A85}"/>
                </c:ext>
              </c:extLst>
            </c:dLbl>
            <c:dLbl>
              <c:idx val="30"/>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1753-4521-8460-50BBBC899A85}"/>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44197</c:v>
                </c:pt>
                <c:pt idx="1">
                  <c:v>44562</c:v>
                </c:pt>
              </c:numCache>
            </c:numRef>
          </c:cat>
          <c:val>
            <c:numRef>
              <c:f>calculation!$BP$68:$BP$98</c:f>
              <c:numCache>
                <c:formatCode>General</c:formatCode>
                <c:ptCount val="31"/>
                <c:pt idx="0">
                  <c:v>2</c:v>
                </c:pt>
                <c:pt idx="1">
                  <c:v>3</c:v>
                </c:pt>
              </c:numCache>
            </c:numRef>
          </c:val>
          <c:smooth val="0"/>
          <c:extLst>
            <c:ext xmlns:c15="http://schemas.microsoft.com/office/drawing/2012/chart" uri="{02D57815-91ED-43cb-92C2-25804820EDAC}">
              <c15:datalabelsRange>
                <c15:f>calculation!$BP$68:$BP$98</c15:f>
                <c15:dlblRangeCache>
                  <c:ptCount val="31"/>
                  <c:pt idx="0">
                    <c:v>2</c:v>
                  </c:pt>
                  <c:pt idx="1">
                    <c:v>3</c:v>
                  </c:pt>
                </c15:dlblRangeCache>
              </c15:datalabelsRange>
            </c:ext>
            <c:ext xmlns:c16="http://schemas.microsoft.com/office/drawing/2014/chart" uri="{C3380CC4-5D6E-409C-BE32-E72D297353CC}">
              <c16:uniqueId val="{00000062-D48E-448C-B826-0CF7FF08DA4A}"/>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0"/>
        <c:axPos val="b"/>
        <c:numFmt formatCode="yyyy\-mm\-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242688"/>
        <c:crosses val="autoZero"/>
        <c:auto val="0"/>
        <c:lblOffset val="100"/>
        <c:baseTimeUnit val="years"/>
      </c:dateAx>
      <c:valAx>
        <c:axId val="1247242688"/>
        <c:scaling>
          <c:orientation val="minMax"/>
        </c:scaling>
        <c:delete val="1"/>
        <c:axPos val="l"/>
        <c:numFmt formatCode="General" sourceLinked="1"/>
        <c:majorTickMark val="out"/>
        <c:minorTickMark val="none"/>
        <c:tickLblPos val="nextTo"/>
        <c:crossAx val="1105380432"/>
        <c:crosses val="autoZero"/>
        <c:crossBetween val="between"/>
      </c:valAx>
      <c:spPr>
        <a:noFill/>
        <a:ln>
          <a:noFill/>
        </a:ln>
        <a:effectLst/>
      </c:spPr>
    </c:plotArea>
    <c:legend>
      <c:legendPos val="b"/>
      <c:legendEntry>
        <c:idx val="4"/>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calculation!$AX$5</c:f>
          <c:strCache>
            <c:ptCount val="1"/>
            <c:pt idx="0">
              <c:v>Distribution Topic During Selected Period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5009444149998905"/>
          <c:y val="0.11552411917629915"/>
          <c:w val="0.74605117505925711"/>
          <c:h val="0.77650592990568701"/>
        </c:manualLayout>
      </c:layout>
      <c:barChart>
        <c:barDir val="bar"/>
        <c:grouping val="stacked"/>
        <c:varyColors val="0"/>
        <c:ser>
          <c:idx val="0"/>
          <c:order val="0"/>
          <c:tx>
            <c:strRef>
              <c:f>calculation!$AX$7</c:f>
              <c:strCache>
                <c:ptCount val="1"/>
                <c:pt idx="0">
                  <c:v>positive</c:v>
                </c:pt>
              </c:strCache>
            </c:strRef>
          </c:tx>
          <c:spPr>
            <a:solidFill>
              <a:srgbClr val="70CD53"/>
            </a:solidFill>
            <a:ln>
              <a:noFill/>
            </a:ln>
            <a:effectLst/>
          </c:spPr>
          <c:invertIfNegative val="0"/>
          <c:dLbls>
            <c:dLbl>
              <c:idx val="0"/>
              <c:tx>
                <c:rich>
                  <a:bodyPr/>
                  <a:lstStyle/>
                  <a:p>
                    <a:fld id="{A6221E7C-AA74-46CB-8A41-8E503B02125B}"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CA5A-4C78-97CD-362A129CF4FC}"/>
                </c:ext>
              </c:extLst>
            </c:dLbl>
            <c:dLbl>
              <c:idx val="1"/>
              <c:tx>
                <c:rich>
                  <a:bodyPr/>
                  <a:lstStyle/>
                  <a:p>
                    <a:fld id="{39353C69-FAF6-4FCE-84B0-DBEFBE0EA73E}"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CA5A-4C78-97CD-362A129CF4FC}"/>
                </c:ext>
              </c:extLst>
            </c:dLbl>
            <c:dLbl>
              <c:idx val="2"/>
              <c:tx>
                <c:rich>
                  <a:bodyPr/>
                  <a:lstStyle/>
                  <a:p>
                    <a:fld id="{6F083934-1E81-4BCD-B2B4-CCBA3233B494}"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CA5A-4C78-97CD-362A129CF4FC}"/>
                </c:ext>
              </c:extLst>
            </c:dLbl>
            <c:dLbl>
              <c:idx val="3"/>
              <c:tx>
                <c:rich>
                  <a:bodyPr/>
                  <a:lstStyle/>
                  <a:p>
                    <a:fld id="{F16146D1-9D02-4E64-8FCA-E861BA931FE3}"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CA5A-4C78-97CD-362A129CF4FC}"/>
                </c:ext>
              </c:extLst>
            </c:dLbl>
            <c:dLbl>
              <c:idx val="4"/>
              <c:tx>
                <c:rich>
                  <a:bodyPr/>
                  <a:lstStyle/>
                  <a:p>
                    <a:fld id="{BA6B4F26-82FE-4C53-89F6-77FC04529F3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A5A-4C78-97CD-362A129CF4FC}"/>
                </c:ext>
              </c:extLst>
            </c:dLbl>
            <c:dLbl>
              <c:idx val="5"/>
              <c:tx>
                <c:rich>
                  <a:bodyPr/>
                  <a:lstStyle/>
                  <a:p>
                    <a:fld id="{58188E0B-B2F6-446B-8971-99D5030C0BA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A5A-4C78-97CD-362A129CF4FC}"/>
                </c:ext>
              </c:extLst>
            </c:dLbl>
            <c:dLbl>
              <c:idx val="6"/>
              <c:tx>
                <c:rich>
                  <a:bodyPr/>
                  <a:lstStyle/>
                  <a:p>
                    <a:fld id="{C8C73D3E-6252-4144-B22F-331902C9B92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A5A-4C78-97CD-362A129CF4F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calculation!$AW$8:$AW$14</c:f>
              <c:strCache>
                <c:ptCount val="7"/>
                <c:pt idx="0">
                  <c:v>Food and Menu Items</c:v>
                </c:pt>
                <c:pt idx="1">
                  <c:v>Condiments</c:v>
                </c:pt>
                <c:pt idx="2">
                  <c:v>Packaging</c:v>
                </c:pt>
                <c:pt idx="3">
                  <c:v>Pricing and Value</c:v>
                </c:pt>
                <c:pt idx="4">
                  <c:v>Experience and Environment</c:v>
                </c:pt>
                <c:pt idx="5">
                  <c:v>Service and Staff</c:v>
                </c:pt>
                <c:pt idx="6">
                  <c:v>Miscellaneous</c:v>
                </c:pt>
              </c:strCache>
            </c:strRef>
          </c:cat>
          <c:val>
            <c:numRef>
              <c:f>calculation!$AX$8:$AX$14</c:f>
              <c:numCache>
                <c:formatCode>General</c:formatCode>
                <c:ptCount val="7"/>
                <c:pt idx="0">
                  <c:v>11</c:v>
                </c:pt>
                <c:pt idx="1">
                  <c:v>0</c:v>
                </c:pt>
                <c:pt idx="2">
                  <c:v>0</c:v>
                </c:pt>
                <c:pt idx="3">
                  <c:v>0</c:v>
                </c:pt>
                <c:pt idx="4">
                  <c:v>1</c:v>
                </c:pt>
                <c:pt idx="5">
                  <c:v>5</c:v>
                </c:pt>
                <c:pt idx="6">
                  <c:v>6</c:v>
                </c:pt>
              </c:numCache>
            </c:numRef>
          </c:val>
          <c:extLst>
            <c:ext xmlns:c15="http://schemas.microsoft.com/office/drawing/2012/chart" uri="{02D57815-91ED-43cb-92C2-25804820EDAC}">
              <c15:datalabelsRange>
                <c15:f>calculation!$BD$8:$BD$14</c15:f>
                <c15:dlblRangeCache>
                  <c:ptCount val="7"/>
                  <c:pt idx="0">
                    <c:v>61%</c:v>
                  </c:pt>
                  <c:pt idx="4">
                    <c:v>6%</c:v>
                  </c:pt>
                  <c:pt idx="5">
                    <c:v>28%</c:v>
                  </c:pt>
                  <c:pt idx="6">
                    <c:v>33%</c:v>
                  </c:pt>
                </c15:dlblRangeCache>
              </c15:datalabelsRange>
            </c:ext>
            <c:ext xmlns:c16="http://schemas.microsoft.com/office/drawing/2014/chart" uri="{C3380CC4-5D6E-409C-BE32-E72D297353CC}">
              <c16:uniqueId val="{00000007-CA5A-4C78-97CD-362A129CF4FC}"/>
            </c:ext>
          </c:extLst>
        </c:ser>
        <c:ser>
          <c:idx val="1"/>
          <c:order val="1"/>
          <c:tx>
            <c:strRef>
              <c:f>calculation!$AY$7</c:f>
              <c:strCache>
                <c:ptCount val="1"/>
                <c:pt idx="0">
                  <c:v>neutral</c:v>
                </c:pt>
              </c:strCache>
            </c:strRef>
          </c:tx>
          <c:spPr>
            <a:solidFill>
              <a:srgbClr val="F8F200"/>
            </a:solidFill>
            <a:ln>
              <a:noFill/>
            </a:ln>
            <a:effectLst/>
          </c:spPr>
          <c:invertIfNegative val="0"/>
          <c:dLbls>
            <c:dLbl>
              <c:idx val="0"/>
              <c:tx>
                <c:rich>
                  <a:bodyPr/>
                  <a:lstStyle/>
                  <a:p>
                    <a:fld id="{07B30191-F73C-45DC-9564-450A73CC47B4}"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CA5A-4C78-97CD-362A129CF4FC}"/>
                </c:ext>
              </c:extLst>
            </c:dLbl>
            <c:dLbl>
              <c:idx val="1"/>
              <c:tx>
                <c:rich>
                  <a:bodyPr/>
                  <a:lstStyle/>
                  <a:p>
                    <a:fld id="{B9EEAF23-6703-4E0A-8C5C-C1B15949B79A}"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CA5A-4C78-97CD-362A129CF4FC}"/>
                </c:ext>
              </c:extLst>
            </c:dLbl>
            <c:dLbl>
              <c:idx val="2"/>
              <c:tx>
                <c:rich>
                  <a:bodyPr/>
                  <a:lstStyle/>
                  <a:p>
                    <a:fld id="{26FB12E0-D801-45D3-96B0-7FDFE8D0BD4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A5A-4C78-97CD-362A129CF4FC}"/>
                </c:ext>
              </c:extLst>
            </c:dLbl>
            <c:dLbl>
              <c:idx val="3"/>
              <c:tx>
                <c:rich>
                  <a:bodyPr/>
                  <a:lstStyle/>
                  <a:p>
                    <a:fld id="{2ECFA13C-22FA-4BC5-A837-20C4E4D47AD2}"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CA5A-4C78-97CD-362A129CF4FC}"/>
                </c:ext>
              </c:extLst>
            </c:dLbl>
            <c:dLbl>
              <c:idx val="4"/>
              <c:tx>
                <c:rich>
                  <a:bodyPr/>
                  <a:lstStyle/>
                  <a:p>
                    <a:fld id="{16EB6707-9498-4BAD-85B9-FAD74913327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A5A-4C78-97CD-362A129CF4FC}"/>
                </c:ext>
              </c:extLst>
            </c:dLbl>
            <c:dLbl>
              <c:idx val="5"/>
              <c:tx>
                <c:rich>
                  <a:bodyPr/>
                  <a:lstStyle/>
                  <a:p>
                    <a:fld id="{CC361FD4-2A38-41A3-921A-91B06CDF0C97}"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CA5A-4C78-97CD-362A129CF4FC}"/>
                </c:ext>
              </c:extLst>
            </c:dLbl>
            <c:dLbl>
              <c:idx val="6"/>
              <c:tx>
                <c:rich>
                  <a:bodyPr/>
                  <a:lstStyle/>
                  <a:p>
                    <a:fld id="{6D44993A-85EC-4404-8D5F-0B3431B3DB9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CA5A-4C78-97CD-362A129CF4F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calculation!$AW$8:$AW$14</c:f>
              <c:strCache>
                <c:ptCount val="7"/>
                <c:pt idx="0">
                  <c:v>Food and Menu Items</c:v>
                </c:pt>
                <c:pt idx="1">
                  <c:v>Condiments</c:v>
                </c:pt>
                <c:pt idx="2">
                  <c:v>Packaging</c:v>
                </c:pt>
                <c:pt idx="3">
                  <c:v>Pricing and Value</c:v>
                </c:pt>
                <c:pt idx="4">
                  <c:v>Experience and Environment</c:v>
                </c:pt>
                <c:pt idx="5">
                  <c:v>Service and Staff</c:v>
                </c:pt>
                <c:pt idx="6">
                  <c:v>Miscellaneous</c:v>
                </c:pt>
              </c:strCache>
            </c:strRef>
          </c:cat>
          <c:val>
            <c:numRef>
              <c:f>calculation!$AY$8:$AY$14</c:f>
              <c:numCache>
                <c:formatCode>General</c:formatCode>
                <c:ptCount val="7"/>
                <c:pt idx="0">
                  <c:v>1</c:v>
                </c:pt>
                <c:pt idx="1">
                  <c:v>0</c:v>
                </c:pt>
                <c:pt idx="2">
                  <c:v>2</c:v>
                </c:pt>
                <c:pt idx="3">
                  <c:v>0</c:v>
                </c:pt>
                <c:pt idx="4">
                  <c:v>1</c:v>
                </c:pt>
                <c:pt idx="5">
                  <c:v>0</c:v>
                </c:pt>
                <c:pt idx="6">
                  <c:v>2</c:v>
                </c:pt>
              </c:numCache>
            </c:numRef>
          </c:val>
          <c:extLst>
            <c:ext xmlns:c15="http://schemas.microsoft.com/office/drawing/2012/chart" uri="{02D57815-91ED-43cb-92C2-25804820EDAC}">
              <c15:datalabelsRange>
                <c15:f>calculation!$BE$8:$BE$14</c15:f>
                <c15:dlblRangeCache>
                  <c:ptCount val="7"/>
                  <c:pt idx="0">
                    <c:v>6%</c:v>
                  </c:pt>
                  <c:pt idx="2">
                    <c:v>11%</c:v>
                  </c:pt>
                  <c:pt idx="4">
                    <c:v>6%</c:v>
                  </c:pt>
                  <c:pt idx="6">
                    <c:v>11%</c:v>
                  </c:pt>
                </c15:dlblRangeCache>
              </c15:datalabelsRange>
            </c:ext>
            <c:ext xmlns:c16="http://schemas.microsoft.com/office/drawing/2014/chart" uri="{C3380CC4-5D6E-409C-BE32-E72D297353CC}">
              <c16:uniqueId val="{0000000F-CA5A-4C78-97CD-362A129CF4FC}"/>
            </c:ext>
          </c:extLst>
        </c:ser>
        <c:ser>
          <c:idx val="2"/>
          <c:order val="2"/>
          <c:tx>
            <c:strRef>
              <c:f>calculation!$AZ$7</c:f>
              <c:strCache>
                <c:ptCount val="1"/>
                <c:pt idx="0">
                  <c:v>negative</c:v>
                </c:pt>
              </c:strCache>
            </c:strRef>
          </c:tx>
          <c:spPr>
            <a:solidFill>
              <a:srgbClr val="C00000"/>
            </a:solidFill>
            <a:ln>
              <a:noFill/>
            </a:ln>
            <a:effectLst/>
          </c:spPr>
          <c:invertIfNegative val="0"/>
          <c:dLbls>
            <c:dLbl>
              <c:idx val="0"/>
              <c:tx>
                <c:rich>
                  <a:bodyPr/>
                  <a:lstStyle/>
                  <a:p>
                    <a:fld id="{2FE42877-A3D0-4959-8C41-819A27483204}"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CA5A-4C78-97CD-362A129CF4FC}"/>
                </c:ext>
              </c:extLst>
            </c:dLbl>
            <c:dLbl>
              <c:idx val="1"/>
              <c:tx>
                <c:rich>
                  <a:bodyPr/>
                  <a:lstStyle/>
                  <a:p>
                    <a:fld id="{E91E3ED5-E610-40E9-9C36-9EDCAF86CC3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CA5A-4C78-97CD-362A129CF4FC}"/>
                </c:ext>
              </c:extLst>
            </c:dLbl>
            <c:dLbl>
              <c:idx val="2"/>
              <c:tx>
                <c:rich>
                  <a:bodyPr/>
                  <a:lstStyle/>
                  <a:p>
                    <a:fld id="{785F2EE2-4EA5-4AEC-8A01-97CDE5D778C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CA5A-4C78-97CD-362A129CF4FC}"/>
                </c:ext>
              </c:extLst>
            </c:dLbl>
            <c:dLbl>
              <c:idx val="3"/>
              <c:tx>
                <c:rich>
                  <a:bodyPr/>
                  <a:lstStyle/>
                  <a:p>
                    <a:fld id="{CD5278BB-BD8D-42F9-BD44-63B1F5759698}"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CA5A-4C78-97CD-362A129CF4FC}"/>
                </c:ext>
              </c:extLst>
            </c:dLbl>
            <c:dLbl>
              <c:idx val="4"/>
              <c:tx>
                <c:rich>
                  <a:bodyPr/>
                  <a:lstStyle/>
                  <a:p>
                    <a:fld id="{33F3BE2C-19A8-4B70-8FF0-E2A8867ABC3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CA5A-4C78-97CD-362A129CF4FC}"/>
                </c:ext>
              </c:extLst>
            </c:dLbl>
            <c:dLbl>
              <c:idx val="5"/>
              <c:tx>
                <c:rich>
                  <a:bodyPr/>
                  <a:lstStyle/>
                  <a:p>
                    <a:fld id="{08FF3977-1E52-4734-8043-2E1EB1E51D8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CA5A-4C78-97CD-362A129CF4FC}"/>
                </c:ext>
              </c:extLst>
            </c:dLbl>
            <c:dLbl>
              <c:idx val="6"/>
              <c:tx>
                <c:rich>
                  <a:bodyPr/>
                  <a:lstStyle/>
                  <a:p>
                    <a:fld id="{6FAE56F3-8F50-4A63-8877-0F6CB55ADA5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CA5A-4C78-97CD-362A129CF4F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lumMod val="9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calculation!$AW$8:$AW$14</c:f>
              <c:strCache>
                <c:ptCount val="7"/>
                <c:pt idx="0">
                  <c:v>Food and Menu Items</c:v>
                </c:pt>
                <c:pt idx="1">
                  <c:v>Condiments</c:v>
                </c:pt>
                <c:pt idx="2">
                  <c:v>Packaging</c:v>
                </c:pt>
                <c:pt idx="3">
                  <c:v>Pricing and Value</c:v>
                </c:pt>
                <c:pt idx="4">
                  <c:v>Experience and Environment</c:v>
                </c:pt>
                <c:pt idx="5">
                  <c:v>Service and Staff</c:v>
                </c:pt>
                <c:pt idx="6">
                  <c:v>Miscellaneous</c:v>
                </c:pt>
              </c:strCache>
            </c:strRef>
          </c:cat>
          <c:val>
            <c:numRef>
              <c:f>calculation!$AZ$8:$AZ$14</c:f>
              <c:numCache>
                <c:formatCode>General</c:formatCode>
                <c:ptCount val="7"/>
                <c:pt idx="0">
                  <c:v>6</c:v>
                </c:pt>
                <c:pt idx="1">
                  <c:v>2</c:v>
                </c:pt>
                <c:pt idx="2">
                  <c:v>1</c:v>
                </c:pt>
                <c:pt idx="3">
                  <c:v>0</c:v>
                </c:pt>
                <c:pt idx="4">
                  <c:v>6</c:v>
                </c:pt>
                <c:pt idx="5">
                  <c:v>11</c:v>
                </c:pt>
                <c:pt idx="6">
                  <c:v>13</c:v>
                </c:pt>
              </c:numCache>
            </c:numRef>
          </c:val>
          <c:extLst>
            <c:ext xmlns:c15="http://schemas.microsoft.com/office/drawing/2012/chart" uri="{02D57815-91ED-43cb-92C2-25804820EDAC}">
              <c15:datalabelsRange>
                <c15:f>calculation!$BF$8:$BF$14</c15:f>
                <c15:dlblRangeCache>
                  <c:ptCount val="7"/>
                  <c:pt idx="0">
                    <c:v>33%</c:v>
                  </c:pt>
                  <c:pt idx="1">
                    <c:v>11%</c:v>
                  </c:pt>
                  <c:pt idx="2">
                    <c:v>6%</c:v>
                  </c:pt>
                  <c:pt idx="4">
                    <c:v>33%</c:v>
                  </c:pt>
                  <c:pt idx="5">
                    <c:v>61%</c:v>
                  </c:pt>
                  <c:pt idx="6">
                    <c:v>72%</c:v>
                  </c:pt>
                </c15:dlblRangeCache>
              </c15:datalabelsRange>
            </c:ext>
            <c:ext xmlns:c16="http://schemas.microsoft.com/office/drawing/2014/chart" uri="{C3380CC4-5D6E-409C-BE32-E72D297353CC}">
              <c16:uniqueId val="{00000017-CA5A-4C78-97CD-362A129CF4FC}"/>
            </c:ext>
          </c:extLst>
        </c:ser>
        <c:ser>
          <c:idx val="3"/>
          <c:order val="3"/>
          <c:tx>
            <c:strRef>
              <c:f>calculation!$BC$7</c:f>
              <c:strCache>
                <c:ptCount val="1"/>
                <c:pt idx="0">
                  <c:v>dummy</c:v>
                </c:pt>
              </c:strCache>
            </c:strRef>
          </c:tx>
          <c:spPr>
            <a:solidFill>
              <a:schemeClr val="bg1"/>
            </a:solidFill>
            <a:ln>
              <a:noFill/>
            </a:ln>
            <a:effectLst/>
          </c:spPr>
          <c:invertIfNegative val="0"/>
          <c:dLbls>
            <c:dLbl>
              <c:idx val="0"/>
              <c:tx>
                <c:rich>
                  <a:bodyPr/>
                  <a:lstStyle/>
                  <a:p>
                    <a:fld id="{BABC25FE-F6C3-49B0-B90F-753D22C2FEAB}"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CA5A-4C78-97CD-362A129CF4FC}"/>
                </c:ext>
              </c:extLst>
            </c:dLbl>
            <c:dLbl>
              <c:idx val="1"/>
              <c:tx>
                <c:rich>
                  <a:bodyPr/>
                  <a:lstStyle/>
                  <a:p>
                    <a:fld id="{E31063F3-56D4-4FFA-A11B-97A6FB32680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A5A-4C78-97CD-362A129CF4FC}"/>
                </c:ext>
              </c:extLst>
            </c:dLbl>
            <c:dLbl>
              <c:idx val="2"/>
              <c:tx>
                <c:rich>
                  <a:bodyPr/>
                  <a:lstStyle/>
                  <a:p>
                    <a:fld id="{9D73F15A-0686-4D95-9D3A-5272FAE1762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A5A-4C78-97CD-362A129CF4FC}"/>
                </c:ext>
              </c:extLst>
            </c:dLbl>
            <c:dLbl>
              <c:idx val="3"/>
              <c:tx>
                <c:rich>
                  <a:bodyPr/>
                  <a:lstStyle/>
                  <a:p>
                    <a:fld id="{695DB744-71BC-41DF-82F7-3982175DD4E3}"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B-CA5A-4C78-97CD-362A129CF4FC}"/>
                </c:ext>
              </c:extLst>
            </c:dLbl>
            <c:dLbl>
              <c:idx val="4"/>
              <c:tx>
                <c:rich>
                  <a:bodyPr/>
                  <a:lstStyle/>
                  <a:p>
                    <a:fld id="{43F130AC-A954-4AED-8950-B47347B1C54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A5A-4C78-97CD-362A129CF4FC}"/>
                </c:ext>
              </c:extLst>
            </c:dLbl>
            <c:dLbl>
              <c:idx val="5"/>
              <c:tx>
                <c:rich>
                  <a:bodyPr/>
                  <a:lstStyle/>
                  <a:p>
                    <a:fld id="{11F8CCFD-D032-4F21-9288-2FBC919D261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CA5A-4C78-97CD-362A129CF4FC}"/>
                </c:ext>
              </c:extLst>
            </c:dLbl>
            <c:dLbl>
              <c:idx val="6"/>
              <c:tx>
                <c:rich>
                  <a:bodyPr/>
                  <a:lstStyle/>
                  <a:p>
                    <a:fld id="{3F75EA94-2FED-485B-AA49-3D017839B9C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A5A-4C78-97CD-362A129CF4FC}"/>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calculation!$BC$8:$BC$14</c:f>
              <c:numCache>
                <c:formatCode>General</c:formatCode>
                <c:ptCount val="7"/>
                <c:pt idx="0">
                  <c:v>0.25</c:v>
                </c:pt>
                <c:pt idx="1">
                  <c:v>0.25</c:v>
                </c:pt>
                <c:pt idx="2">
                  <c:v>0.25</c:v>
                </c:pt>
                <c:pt idx="3">
                  <c:v>0.25</c:v>
                </c:pt>
                <c:pt idx="4">
                  <c:v>0.25</c:v>
                </c:pt>
                <c:pt idx="5">
                  <c:v>0.25</c:v>
                </c:pt>
                <c:pt idx="6">
                  <c:v>0.25</c:v>
                </c:pt>
              </c:numCache>
            </c:numRef>
          </c:val>
          <c:extLst>
            <c:ext xmlns:c15="http://schemas.microsoft.com/office/drawing/2012/chart" uri="{02D57815-91ED-43cb-92C2-25804820EDAC}">
              <c15:datalabelsRange>
                <c15:f>calculation!$BA$8:$BA$14</c15:f>
                <c15:dlblRangeCache>
                  <c:ptCount val="7"/>
                  <c:pt idx="0">
                    <c:v>18</c:v>
                  </c:pt>
                  <c:pt idx="1">
                    <c:v>2</c:v>
                  </c:pt>
                  <c:pt idx="2">
                    <c:v>3</c:v>
                  </c:pt>
                  <c:pt idx="4">
                    <c:v>8</c:v>
                  </c:pt>
                  <c:pt idx="5">
                    <c:v>16</c:v>
                  </c:pt>
                  <c:pt idx="6">
                    <c:v>21</c:v>
                  </c:pt>
                </c15:dlblRangeCache>
              </c15:datalabelsRange>
            </c:ext>
            <c:ext xmlns:c16="http://schemas.microsoft.com/office/drawing/2014/chart" uri="{C3380CC4-5D6E-409C-BE32-E72D297353CC}">
              <c16:uniqueId val="{0000001F-CA5A-4C78-97CD-362A129CF4FC}"/>
            </c:ext>
          </c:extLst>
        </c:ser>
        <c:dLbls>
          <c:showLegendKey val="0"/>
          <c:showVal val="0"/>
          <c:showCatName val="0"/>
          <c:showSerName val="0"/>
          <c:showPercent val="0"/>
          <c:showBubbleSize val="0"/>
        </c:dLbls>
        <c:gapWidth val="150"/>
        <c:overlap val="100"/>
        <c:axId val="553695343"/>
        <c:axId val="553696303"/>
      </c:barChart>
      <c:catAx>
        <c:axId val="553695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696303"/>
        <c:crosses val="autoZero"/>
        <c:auto val="1"/>
        <c:lblAlgn val="ctr"/>
        <c:lblOffset val="100"/>
        <c:noMultiLvlLbl val="0"/>
      </c:catAx>
      <c:valAx>
        <c:axId val="553696303"/>
        <c:scaling>
          <c:orientation val="minMax"/>
        </c:scaling>
        <c:delete val="1"/>
        <c:axPos val="b"/>
        <c:numFmt formatCode="General" sourceLinked="1"/>
        <c:majorTickMark val="none"/>
        <c:minorTickMark val="none"/>
        <c:tickLblPos val="nextTo"/>
        <c:crossAx val="553695343"/>
        <c:crosses val="autoZero"/>
        <c:crossBetween val="between"/>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'EDA-calculation'!$H$3</c:f>
          <c:strCache>
            <c:ptCount val="1"/>
            <c:pt idx="0">
              <c:v>Distribution Sentiment All Topics Period: 2024</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'EDA-calculation'!$I$4</c:f>
              <c:strCache>
                <c:ptCount val="1"/>
                <c:pt idx="0">
                  <c:v>positive</c:v>
                </c:pt>
              </c:strCache>
            </c:strRef>
          </c:tx>
          <c:spPr>
            <a:solidFill>
              <a:srgbClr val="70CD53"/>
            </a:solidFill>
            <a:ln>
              <a:noFill/>
            </a:ln>
            <a:effectLst/>
          </c:spPr>
          <c:invertIfNegative val="0"/>
          <c:cat>
            <c:numRef>
              <c:f>'EDA-calculation'!$H$5:$H$16</c:f>
              <c:numCache>
                <c:formatCode>m/d/yyyy</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'EDA-calculation'!$I$5:$I$16</c:f>
              <c:numCache>
                <c:formatCode>General</c:formatCode>
                <c:ptCount val="12"/>
                <c:pt idx="0">
                  <c:v>0</c:v>
                </c:pt>
                <c:pt idx="1">
                  <c:v>1</c:v>
                </c:pt>
                <c:pt idx="2">
                  <c:v>0</c:v>
                </c:pt>
                <c:pt idx="3">
                  <c:v>1</c:v>
                </c:pt>
                <c:pt idx="4">
                  <c:v>10</c:v>
                </c:pt>
                <c:pt idx="5">
                  <c:v>4</c:v>
                </c:pt>
                <c:pt idx="6">
                  <c:v>0</c:v>
                </c:pt>
                <c:pt idx="7">
                  <c:v>1</c:v>
                </c:pt>
                <c:pt idx="8">
                  <c:v>7</c:v>
                </c:pt>
                <c:pt idx="9">
                  <c:v>0</c:v>
                </c:pt>
                <c:pt idx="10">
                  <c:v>5</c:v>
                </c:pt>
                <c:pt idx="11">
                  <c:v>4</c:v>
                </c:pt>
              </c:numCache>
            </c:numRef>
          </c:val>
          <c:extLst>
            <c:ext xmlns:c16="http://schemas.microsoft.com/office/drawing/2014/chart" uri="{C3380CC4-5D6E-409C-BE32-E72D297353CC}">
              <c16:uniqueId val="{00000000-A9D5-4854-A19D-BB760DE01E7E}"/>
            </c:ext>
          </c:extLst>
        </c:ser>
        <c:ser>
          <c:idx val="1"/>
          <c:order val="1"/>
          <c:tx>
            <c:strRef>
              <c:f>'EDA-calculation'!$J$4</c:f>
              <c:strCache>
                <c:ptCount val="1"/>
                <c:pt idx="0">
                  <c:v>neutral</c:v>
                </c:pt>
              </c:strCache>
            </c:strRef>
          </c:tx>
          <c:spPr>
            <a:solidFill>
              <a:srgbClr val="F8F200"/>
            </a:solidFill>
            <a:ln>
              <a:noFill/>
            </a:ln>
            <a:effectLst/>
          </c:spPr>
          <c:invertIfNegative val="0"/>
          <c:cat>
            <c:numRef>
              <c:f>'EDA-calculation'!$H$5:$H$16</c:f>
              <c:numCache>
                <c:formatCode>m/d/yyyy</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'EDA-calculation'!$J$5:$J$16</c:f>
              <c:numCache>
                <c:formatCode>General</c:formatCode>
                <c:ptCount val="12"/>
                <c:pt idx="0">
                  <c:v>0</c:v>
                </c:pt>
                <c:pt idx="1">
                  <c:v>1</c:v>
                </c:pt>
                <c:pt idx="2">
                  <c:v>4</c:v>
                </c:pt>
                <c:pt idx="3">
                  <c:v>0</c:v>
                </c:pt>
                <c:pt idx="4">
                  <c:v>2</c:v>
                </c:pt>
                <c:pt idx="5">
                  <c:v>3</c:v>
                </c:pt>
                <c:pt idx="6">
                  <c:v>0</c:v>
                </c:pt>
                <c:pt idx="7">
                  <c:v>0</c:v>
                </c:pt>
                <c:pt idx="8">
                  <c:v>0</c:v>
                </c:pt>
                <c:pt idx="9">
                  <c:v>2</c:v>
                </c:pt>
                <c:pt idx="10">
                  <c:v>5</c:v>
                </c:pt>
                <c:pt idx="11">
                  <c:v>1</c:v>
                </c:pt>
              </c:numCache>
            </c:numRef>
          </c:val>
          <c:extLst>
            <c:ext xmlns:c16="http://schemas.microsoft.com/office/drawing/2014/chart" uri="{C3380CC4-5D6E-409C-BE32-E72D297353CC}">
              <c16:uniqueId val="{00000001-A9D5-4854-A19D-BB760DE01E7E}"/>
            </c:ext>
          </c:extLst>
        </c:ser>
        <c:ser>
          <c:idx val="2"/>
          <c:order val="2"/>
          <c:tx>
            <c:strRef>
              <c:f>'EDA-calculation'!$K$4</c:f>
              <c:strCache>
                <c:ptCount val="1"/>
                <c:pt idx="0">
                  <c:v>negative</c:v>
                </c:pt>
              </c:strCache>
            </c:strRef>
          </c:tx>
          <c:spPr>
            <a:solidFill>
              <a:srgbClr val="C00000"/>
            </a:solidFill>
            <a:ln>
              <a:noFill/>
            </a:ln>
            <a:effectLst/>
          </c:spPr>
          <c:invertIfNegative val="0"/>
          <c:cat>
            <c:numRef>
              <c:f>'EDA-calculation'!$H$5:$H$16</c:f>
              <c:numCache>
                <c:formatCode>m/d/yyyy</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'EDA-calculation'!$K$5:$K$16</c:f>
              <c:numCache>
                <c:formatCode>General</c:formatCode>
                <c:ptCount val="12"/>
                <c:pt idx="0">
                  <c:v>2</c:v>
                </c:pt>
                <c:pt idx="1">
                  <c:v>5</c:v>
                </c:pt>
                <c:pt idx="2">
                  <c:v>10</c:v>
                </c:pt>
                <c:pt idx="3">
                  <c:v>2</c:v>
                </c:pt>
                <c:pt idx="4">
                  <c:v>6</c:v>
                </c:pt>
                <c:pt idx="5">
                  <c:v>2</c:v>
                </c:pt>
                <c:pt idx="6">
                  <c:v>6</c:v>
                </c:pt>
                <c:pt idx="7">
                  <c:v>6</c:v>
                </c:pt>
                <c:pt idx="8">
                  <c:v>11</c:v>
                </c:pt>
                <c:pt idx="9">
                  <c:v>6</c:v>
                </c:pt>
                <c:pt idx="10">
                  <c:v>3</c:v>
                </c:pt>
                <c:pt idx="11">
                  <c:v>2</c:v>
                </c:pt>
              </c:numCache>
            </c:numRef>
          </c:val>
          <c:extLst>
            <c:ext xmlns:c16="http://schemas.microsoft.com/office/drawing/2014/chart" uri="{C3380CC4-5D6E-409C-BE32-E72D297353CC}">
              <c16:uniqueId val="{00000002-A9D5-4854-A19D-BB760DE01E7E}"/>
            </c:ext>
          </c:extLst>
        </c:ser>
        <c:dLbls>
          <c:showLegendKey val="0"/>
          <c:showVal val="0"/>
          <c:showCatName val="0"/>
          <c:showSerName val="0"/>
          <c:showPercent val="0"/>
          <c:showBubbleSize val="0"/>
        </c:dLbls>
        <c:gapWidth val="150"/>
        <c:overlap val="100"/>
        <c:axId val="424437568"/>
        <c:axId val="424438048"/>
      </c:barChart>
      <c:lineChart>
        <c:grouping val="stacked"/>
        <c:varyColors val="0"/>
        <c:ser>
          <c:idx val="3"/>
          <c:order val="3"/>
          <c:tx>
            <c:v>label</c:v>
          </c:tx>
          <c:spPr>
            <a:ln w="25400" cap="rnd">
              <a:noFill/>
              <a:round/>
            </a:ln>
            <a:effectLst/>
          </c:spPr>
          <c:marker>
            <c:symbol val="none"/>
          </c:marker>
          <c:dLbls>
            <c:dLbl>
              <c:idx val="0"/>
              <c:tx>
                <c:rich>
                  <a:bodyPr/>
                  <a:lstStyle/>
                  <a:p>
                    <a:fld id="{9595D025-5C2D-49D7-8C8F-767B356BE371}" type="CELLRANGE">
                      <a:rPr lang="en-US"/>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A9D5-4854-A19D-BB760DE01E7E}"/>
                </c:ext>
              </c:extLst>
            </c:dLbl>
            <c:dLbl>
              <c:idx val="1"/>
              <c:tx>
                <c:rich>
                  <a:bodyPr/>
                  <a:lstStyle/>
                  <a:p>
                    <a:fld id="{2685F9A4-5660-4C05-B285-74D2122DBA55}"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9D5-4854-A19D-BB760DE01E7E}"/>
                </c:ext>
              </c:extLst>
            </c:dLbl>
            <c:dLbl>
              <c:idx val="2"/>
              <c:tx>
                <c:rich>
                  <a:bodyPr/>
                  <a:lstStyle/>
                  <a:p>
                    <a:fld id="{038135AD-C7C3-4A75-95A2-94584225BD57}"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9D5-4854-A19D-BB760DE01E7E}"/>
                </c:ext>
              </c:extLst>
            </c:dLbl>
            <c:dLbl>
              <c:idx val="3"/>
              <c:tx>
                <c:rich>
                  <a:bodyPr/>
                  <a:lstStyle/>
                  <a:p>
                    <a:fld id="{A5276203-CD79-41F1-AC8A-2B732F78C867}"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9D5-4854-A19D-BB760DE01E7E}"/>
                </c:ext>
              </c:extLst>
            </c:dLbl>
            <c:dLbl>
              <c:idx val="4"/>
              <c:tx>
                <c:rich>
                  <a:bodyPr/>
                  <a:lstStyle/>
                  <a:p>
                    <a:fld id="{64265EB4-0D1A-4B5B-AA85-F5AE12997D5D}"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9D5-4854-A19D-BB760DE01E7E}"/>
                </c:ext>
              </c:extLst>
            </c:dLbl>
            <c:dLbl>
              <c:idx val="5"/>
              <c:tx>
                <c:rich>
                  <a:bodyPr/>
                  <a:lstStyle/>
                  <a:p>
                    <a:fld id="{8397DA33-4F7E-491A-9763-15028BBE3AB5}"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9D5-4854-A19D-BB760DE01E7E}"/>
                </c:ext>
              </c:extLst>
            </c:dLbl>
            <c:dLbl>
              <c:idx val="6"/>
              <c:tx>
                <c:rich>
                  <a:bodyPr/>
                  <a:lstStyle/>
                  <a:p>
                    <a:fld id="{B592EB1B-9D38-45CD-BD3A-F3CCCD962270}"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9D5-4854-A19D-BB760DE01E7E}"/>
                </c:ext>
              </c:extLst>
            </c:dLbl>
            <c:dLbl>
              <c:idx val="7"/>
              <c:tx>
                <c:rich>
                  <a:bodyPr/>
                  <a:lstStyle/>
                  <a:p>
                    <a:fld id="{6B40636F-BD20-4BE2-963C-C45232ADCD7E}"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9D5-4854-A19D-BB760DE01E7E}"/>
                </c:ext>
              </c:extLst>
            </c:dLbl>
            <c:dLbl>
              <c:idx val="8"/>
              <c:tx>
                <c:rich>
                  <a:bodyPr/>
                  <a:lstStyle/>
                  <a:p>
                    <a:fld id="{25AAFF1A-8CB5-47B1-B151-3B7DBC342436}"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9D5-4854-A19D-BB760DE01E7E}"/>
                </c:ext>
              </c:extLst>
            </c:dLbl>
            <c:dLbl>
              <c:idx val="9"/>
              <c:tx>
                <c:rich>
                  <a:bodyPr/>
                  <a:lstStyle/>
                  <a:p>
                    <a:fld id="{37ADB86C-47B3-48F2-9402-2C980F544BB7}"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9D5-4854-A19D-BB760DE01E7E}"/>
                </c:ext>
              </c:extLst>
            </c:dLbl>
            <c:dLbl>
              <c:idx val="10"/>
              <c:tx>
                <c:rich>
                  <a:bodyPr/>
                  <a:lstStyle/>
                  <a:p>
                    <a:fld id="{8E70BFF6-8DC9-4F19-88E5-AB92E5459C68}"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9D5-4854-A19D-BB760DE01E7E}"/>
                </c:ext>
              </c:extLst>
            </c:dLbl>
            <c:dLbl>
              <c:idx val="11"/>
              <c:tx>
                <c:rich>
                  <a:bodyPr/>
                  <a:lstStyle/>
                  <a:p>
                    <a:fld id="{B097D1E1-62AB-45F7-B2F9-86C3B954B99A}"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9D5-4854-A19D-BB760DE01E7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'EDA-calculation'!$D$5:$D$22</c:f>
              <c:numCache>
                <c:formatCode>yyyy\-mm\-dd</c:formatCode>
                <c:ptCount val="18"/>
                <c:pt idx="0">
                  <c:v>43805</c:v>
                </c:pt>
                <c:pt idx="1">
                  <c:v>44171</c:v>
                </c:pt>
                <c:pt idx="2">
                  <c:v>44536</c:v>
                </c:pt>
                <c:pt idx="3">
                  <c:v>44901</c:v>
                </c:pt>
                <c:pt idx="4">
                  <c:v>45266</c:v>
                </c:pt>
                <c:pt idx="5">
                  <c:v>45297</c:v>
                </c:pt>
                <c:pt idx="6">
                  <c:v>45328</c:v>
                </c:pt>
                <c:pt idx="7">
                  <c:v>45357</c:v>
                </c:pt>
                <c:pt idx="8">
                  <c:v>45388</c:v>
                </c:pt>
                <c:pt idx="9">
                  <c:v>45418</c:v>
                </c:pt>
                <c:pt idx="10">
                  <c:v>45449</c:v>
                </c:pt>
                <c:pt idx="11">
                  <c:v>45479</c:v>
                </c:pt>
                <c:pt idx="12">
                  <c:v>45510</c:v>
                </c:pt>
                <c:pt idx="13">
                  <c:v>45541</c:v>
                </c:pt>
                <c:pt idx="14">
                  <c:v>45571</c:v>
                </c:pt>
                <c:pt idx="15">
                  <c:v>45602</c:v>
                </c:pt>
                <c:pt idx="16">
                  <c:v>45627</c:v>
                </c:pt>
                <c:pt idx="17">
                  <c:v>45629</c:v>
                </c:pt>
              </c:numCache>
            </c:numRef>
          </c:cat>
          <c:val>
            <c:numRef>
              <c:f>'EDA-calculation'!$L$5:$L$16</c:f>
              <c:numCache>
                <c:formatCode>General</c:formatCode>
                <c:ptCount val="12"/>
                <c:pt idx="0">
                  <c:v>2</c:v>
                </c:pt>
                <c:pt idx="1">
                  <c:v>7</c:v>
                </c:pt>
                <c:pt idx="2">
                  <c:v>14</c:v>
                </c:pt>
                <c:pt idx="3">
                  <c:v>3</c:v>
                </c:pt>
                <c:pt idx="4">
                  <c:v>18</c:v>
                </c:pt>
                <c:pt idx="5">
                  <c:v>9</c:v>
                </c:pt>
                <c:pt idx="6">
                  <c:v>6</c:v>
                </c:pt>
                <c:pt idx="7">
                  <c:v>7</c:v>
                </c:pt>
                <c:pt idx="8">
                  <c:v>18</c:v>
                </c:pt>
                <c:pt idx="9">
                  <c:v>8</c:v>
                </c:pt>
                <c:pt idx="10">
                  <c:v>13</c:v>
                </c:pt>
                <c:pt idx="11">
                  <c:v>7</c:v>
                </c:pt>
              </c:numCache>
            </c:numRef>
          </c:val>
          <c:smooth val="0"/>
          <c:extLst>
            <c:ext xmlns:c15="http://schemas.microsoft.com/office/drawing/2012/chart" uri="{02D57815-91ED-43cb-92C2-25804820EDAC}">
              <c15:datalabelsRange>
                <c15:f>'EDA-calculation'!$M$5:$M$16</c15:f>
                <c15:dlblRangeCache>
                  <c:ptCount val="12"/>
                  <c:pt idx="0">
                    <c:v>2</c:v>
                  </c:pt>
                  <c:pt idx="1">
                    <c:v>7</c:v>
                  </c:pt>
                  <c:pt idx="2">
                    <c:v>14</c:v>
                  </c:pt>
                  <c:pt idx="3">
                    <c:v>3</c:v>
                  </c:pt>
                  <c:pt idx="4">
                    <c:v>18</c:v>
                  </c:pt>
                  <c:pt idx="5">
                    <c:v>9</c:v>
                  </c:pt>
                  <c:pt idx="6">
                    <c:v>6</c:v>
                  </c:pt>
                  <c:pt idx="7">
                    <c:v>7</c:v>
                  </c:pt>
                  <c:pt idx="8">
                    <c:v>18</c:v>
                  </c:pt>
                  <c:pt idx="9">
                    <c:v>8</c:v>
                  </c:pt>
                  <c:pt idx="10">
                    <c:v>13</c:v>
                  </c:pt>
                  <c:pt idx="11">
                    <c:v>7</c:v>
                  </c:pt>
                </c15:dlblRangeCache>
              </c15:datalabelsRange>
            </c:ext>
            <c:ext xmlns:c16="http://schemas.microsoft.com/office/drawing/2014/chart" uri="{C3380CC4-5D6E-409C-BE32-E72D297353CC}">
              <c16:uniqueId val="{00000015-A9D5-4854-A19D-BB760DE01E7E}"/>
            </c:ext>
          </c:extLst>
        </c:ser>
        <c:dLbls>
          <c:showLegendKey val="0"/>
          <c:showVal val="0"/>
          <c:showCatName val="0"/>
          <c:showSerName val="0"/>
          <c:showPercent val="0"/>
          <c:showBubbleSize val="0"/>
        </c:dLbls>
        <c:marker val="1"/>
        <c:smooth val="0"/>
        <c:axId val="424437568"/>
        <c:axId val="424438048"/>
      </c:lineChart>
      <c:dateAx>
        <c:axId val="42443756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438048"/>
        <c:crosses val="autoZero"/>
        <c:auto val="1"/>
        <c:lblOffset val="100"/>
        <c:baseTimeUnit val="months"/>
      </c:dateAx>
      <c:valAx>
        <c:axId val="424438048"/>
        <c:scaling>
          <c:orientation val="minMax"/>
        </c:scaling>
        <c:delete val="1"/>
        <c:axPos val="l"/>
        <c:numFmt formatCode="General" sourceLinked="1"/>
        <c:majorTickMark val="out"/>
        <c:minorTickMark val="none"/>
        <c:tickLblPos val="nextTo"/>
        <c:crossAx val="424437568"/>
        <c:crosses val="autoZero"/>
        <c:crossBetween val="between"/>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calculation!$BK$15</c:f>
          <c:strCache>
            <c:ptCount val="1"/>
            <c:pt idx="0">
              <c:v>Trend Sentiment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calculation!$BM$67</c:f>
              <c:strCache>
                <c:ptCount val="1"/>
                <c:pt idx="0">
                  <c:v>positive</c:v>
                </c:pt>
              </c:strCache>
            </c:strRef>
          </c:tx>
          <c:spPr>
            <a:solidFill>
              <a:srgbClr val="70CD53"/>
            </a:solidFill>
            <a:ln>
              <a:noFill/>
            </a:ln>
            <a:effectLst/>
          </c:spPr>
          <c:invertIfNegative val="0"/>
          <c:dLbls>
            <c:dLbl>
              <c:idx val="0"/>
              <c:tx>
                <c:rich>
                  <a:bodyPr/>
                  <a:lstStyle/>
                  <a:p>
                    <a:fld id="{58EDE77B-B665-4074-95B5-E1D414A4C3A6}"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6273-48FA-AC67-5315294629D9}"/>
                </c:ext>
              </c:extLst>
            </c:dLbl>
            <c:dLbl>
              <c:idx val="1"/>
              <c:tx>
                <c:rich>
                  <a:bodyPr/>
                  <a:lstStyle/>
                  <a:p>
                    <a:fld id="{0B2F27F0-88E1-43FC-99ED-C62A10D4F57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6273-48FA-AC67-5315294629D9}"/>
                </c:ext>
              </c:extLst>
            </c:dLbl>
            <c:dLbl>
              <c:idx val="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6273-48FA-AC67-5315294629D9}"/>
                </c:ext>
              </c:extLst>
            </c:dLbl>
            <c:dLbl>
              <c:idx val="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6273-48FA-AC67-5315294629D9}"/>
                </c:ext>
              </c:extLst>
            </c:dLbl>
            <c:dLbl>
              <c:idx val="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6273-48FA-AC67-5315294629D9}"/>
                </c:ext>
              </c:extLst>
            </c:dLbl>
            <c:dLbl>
              <c:idx val="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6273-48FA-AC67-5315294629D9}"/>
                </c:ext>
              </c:extLst>
            </c:dLbl>
            <c:dLbl>
              <c:idx val="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6273-48FA-AC67-5315294629D9}"/>
                </c:ext>
              </c:extLst>
            </c:dLbl>
            <c:dLbl>
              <c:idx val="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6273-48FA-AC67-5315294629D9}"/>
                </c:ext>
              </c:extLst>
            </c:dLbl>
            <c:dLbl>
              <c:idx val="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6273-48FA-AC67-5315294629D9}"/>
                </c:ext>
              </c:extLst>
            </c:dLbl>
            <c:dLbl>
              <c:idx val="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6273-48FA-AC67-5315294629D9}"/>
                </c:ext>
              </c:extLst>
            </c:dLbl>
            <c:dLbl>
              <c:idx val="1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6273-48FA-AC67-5315294629D9}"/>
                </c:ext>
              </c:extLst>
            </c:dLbl>
            <c:dLbl>
              <c:idx val="11"/>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6273-48FA-AC67-5315294629D9}"/>
                </c:ext>
              </c:extLst>
            </c:dLbl>
            <c:dLbl>
              <c:idx val="1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6273-48FA-AC67-5315294629D9}"/>
                </c:ext>
              </c:extLst>
            </c:dLbl>
            <c:dLbl>
              <c:idx val="1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6273-48FA-AC67-5315294629D9}"/>
                </c:ext>
              </c:extLst>
            </c:dLbl>
            <c:dLbl>
              <c:idx val="1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6273-48FA-AC67-5315294629D9}"/>
                </c:ext>
              </c:extLst>
            </c:dLbl>
            <c:dLbl>
              <c:idx val="1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6273-48FA-AC67-5315294629D9}"/>
                </c:ext>
              </c:extLst>
            </c:dLbl>
            <c:dLbl>
              <c:idx val="1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6273-48FA-AC67-5315294629D9}"/>
                </c:ext>
              </c:extLst>
            </c:dLbl>
            <c:dLbl>
              <c:idx val="1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6273-48FA-AC67-5315294629D9}"/>
                </c:ext>
              </c:extLst>
            </c:dLbl>
            <c:dLbl>
              <c:idx val="1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6273-48FA-AC67-5315294629D9}"/>
                </c:ext>
              </c:extLst>
            </c:dLbl>
            <c:dLbl>
              <c:idx val="1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6273-48FA-AC67-5315294629D9}"/>
                </c:ext>
              </c:extLst>
            </c:dLbl>
            <c:dLbl>
              <c:idx val="2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6273-48FA-AC67-5315294629D9}"/>
                </c:ext>
              </c:extLst>
            </c:dLbl>
            <c:dLbl>
              <c:idx val="21"/>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6273-48FA-AC67-5315294629D9}"/>
                </c:ext>
              </c:extLst>
            </c:dLbl>
            <c:dLbl>
              <c:idx val="2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6273-48FA-AC67-5315294629D9}"/>
                </c:ext>
              </c:extLst>
            </c:dLbl>
            <c:dLbl>
              <c:idx val="2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6273-48FA-AC67-5315294629D9}"/>
                </c:ext>
              </c:extLst>
            </c:dLbl>
            <c:dLbl>
              <c:idx val="2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6273-48FA-AC67-5315294629D9}"/>
                </c:ext>
              </c:extLst>
            </c:dLbl>
            <c:dLbl>
              <c:idx val="2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6273-48FA-AC67-5315294629D9}"/>
                </c:ext>
              </c:extLst>
            </c:dLbl>
            <c:dLbl>
              <c:idx val="2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6273-48FA-AC67-5315294629D9}"/>
                </c:ext>
              </c:extLst>
            </c:dLbl>
            <c:dLbl>
              <c:idx val="2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6273-48FA-AC67-5315294629D9}"/>
                </c:ext>
              </c:extLst>
            </c:dLbl>
            <c:dLbl>
              <c:idx val="2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6273-48FA-AC67-5315294629D9}"/>
                </c:ext>
              </c:extLst>
            </c:dLbl>
            <c:dLbl>
              <c:idx val="2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6273-48FA-AC67-5315294629D9}"/>
                </c:ext>
              </c:extLst>
            </c:dLbl>
            <c:dLbl>
              <c:idx val="3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6273-48FA-AC67-5315294629D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44197</c:v>
                </c:pt>
                <c:pt idx="1">
                  <c:v>44562</c:v>
                </c:pt>
              </c:numCache>
            </c:numRef>
          </c:cat>
          <c:val>
            <c:numRef>
              <c:f>calculation!$BM$68:$BM$98</c:f>
              <c:numCache>
                <c:formatCode>General</c:formatCode>
                <c:ptCount val="31"/>
                <c:pt idx="0">
                  <c:v>0</c:v>
                </c:pt>
                <c:pt idx="1">
                  <c:v>0</c:v>
                </c:pt>
              </c:numCache>
            </c:numRef>
          </c:val>
          <c:extLst>
            <c:ext xmlns:c15="http://schemas.microsoft.com/office/drawing/2012/chart" uri="{02D57815-91ED-43cb-92C2-25804820EDAC}">
              <c15:datalabelsRange>
                <c15:f>calculation!$BS$68:$BS$98</c15:f>
                <c15:dlblRangeCache>
                  <c:ptCount val="31"/>
                </c15:dlblRangeCache>
              </c15:datalabelsRange>
            </c:ext>
            <c:ext xmlns:c16="http://schemas.microsoft.com/office/drawing/2014/chart" uri="{C3380CC4-5D6E-409C-BE32-E72D297353CC}">
              <c16:uniqueId val="{00000000-CD47-493C-AF6D-4378ECB75163}"/>
            </c:ext>
          </c:extLst>
        </c:ser>
        <c:ser>
          <c:idx val="1"/>
          <c:order val="1"/>
          <c:tx>
            <c:strRef>
              <c:f>calculation!$BN$67</c:f>
              <c:strCache>
                <c:ptCount val="1"/>
                <c:pt idx="0">
                  <c:v>neutral</c:v>
                </c:pt>
              </c:strCache>
            </c:strRef>
          </c:tx>
          <c:spPr>
            <a:solidFill>
              <a:srgbClr val="F8F200"/>
            </a:solidFill>
            <a:ln>
              <a:noFill/>
            </a:ln>
            <a:effectLst/>
          </c:spPr>
          <c:invertIfNegative val="0"/>
          <c:dLbls>
            <c:dLbl>
              <c:idx val="0"/>
              <c:tx>
                <c:rich>
                  <a:bodyPr/>
                  <a:lstStyle/>
                  <a:p>
                    <a:fld id="{0160D417-3C3F-4155-A39C-6CC0C94A41A6}"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F-6273-48FA-AC67-5315294629D9}"/>
                </c:ext>
              </c:extLst>
            </c:dLbl>
            <c:dLbl>
              <c:idx val="1"/>
              <c:tx>
                <c:rich>
                  <a:bodyPr/>
                  <a:lstStyle/>
                  <a:p>
                    <a:fld id="{A20F0967-D940-41D5-857B-8CF05097AEC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0-6273-48FA-AC67-5315294629D9}"/>
                </c:ext>
              </c:extLst>
            </c:dLbl>
            <c:dLbl>
              <c:idx val="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6273-48FA-AC67-5315294629D9}"/>
                </c:ext>
              </c:extLst>
            </c:dLbl>
            <c:dLbl>
              <c:idx val="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6273-48FA-AC67-5315294629D9}"/>
                </c:ext>
              </c:extLst>
            </c:dLbl>
            <c:dLbl>
              <c:idx val="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6273-48FA-AC67-5315294629D9}"/>
                </c:ext>
              </c:extLst>
            </c:dLbl>
            <c:dLbl>
              <c:idx val="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6273-48FA-AC67-5315294629D9}"/>
                </c:ext>
              </c:extLst>
            </c:dLbl>
            <c:dLbl>
              <c:idx val="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6273-48FA-AC67-5315294629D9}"/>
                </c:ext>
              </c:extLst>
            </c:dLbl>
            <c:dLbl>
              <c:idx val="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6273-48FA-AC67-5315294629D9}"/>
                </c:ext>
              </c:extLst>
            </c:dLbl>
            <c:dLbl>
              <c:idx val="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6273-48FA-AC67-5315294629D9}"/>
                </c:ext>
              </c:extLst>
            </c:dLbl>
            <c:dLbl>
              <c:idx val="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6273-48FA-AC67-5315294629D9}"/>
                </c:ext>
              </c:extLst>
            </c:dLbl>
            <c:dLbl>
              <c:idx val="1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6273-48FA-AC67-5315294629D9}"/>
                </c:ext>
              </c:extLst>
            </c:dLbl>
            <c:dLbl>
              <c:idx val="11"/>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6273-48FA-AC67-5315294629D9}"/>
                </c:ext>
              </c:extLst>
            </c:dLbl>
            <c:dLbl>
              <c:idx val="1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6273-48FA-AC67-5315294629D9}"/>
                </c:ext>
              </c:extLst>
            </c:dLbl>
            <c:dLbl>
              <c:idx val="1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6273-48FA-AC67-5315294629D9}"/>
                </c:ext>
              </c:extLst>
            </c:dLbl>
            <c:dLbl>
              <c:idx val="1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6273-48FA-AC67-5315294629D9}"/>
                </c:ext>
              </c:extLst>
            </c:dLbl>
            <c:dLbl>
              <c:idx val="1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6273-48FA-AC67-5315294629D9}"/>
                </c:ext>
              </c:extLst>
            </c:dLbl>
            <c:dLbl>
              <c:idx val="1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6273-48FA-AC67-5315294629D9}"/>
                </c:ext>
              </c:extLst>
            </c:dLbl>
            <c:dLbl>
              <c:idx val="1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6273-48FA-AC67-5315294629D9}"/>
                </c:ext>
              </c:extLst>
            </c:dLbl>
            <c:dLbl>
              <c:idx val="1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6273-48FA-AC67-5315294629D9}"/>
                </c:ext>
              </c:extLst>
            </c:dLbl>
            <c:dLbl>
              <c:idx val="1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6273-48FA-AC67-5315294629D9}"/>
                </c:ext>
              </c:extLst>
            </c:dLbl>
            <c:dLbl>
              <c:idx val="2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6273-48FA-AC67-5315294629D9}"/>
                </c:ext>
              </c:extLst>
            </c:dLbl>
            <c:dLbl>
              <c:idx val="21"/>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6273-48FA-AC67-5315294629D9}"/>
                </c:ext>
              </c:extLst>
            </c:dLbl>
            <c:dLbl>
              <c:idx val="2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6273-48FA-AC67-5315294629D9}"/>
                </c:ext>
              </c:extLst>
            </c:dLbl>
            <c:dLbl>
              <c:idx val="2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6273-48FA-AC67-5315294629D9}"/>
                </c:ext>
              </c:extLst>
            </c:dLbl>
            <c:dLbl>
              <c:idx val="2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6273-48FA-AC67-5315294629D9}"/>
                </c:ext>
              </c:extLst>
            </c:dLbl>
            <c:dLbl>
              <c:idx val="2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6273-48FA-AC67-5315294629D9}"/>
                </c:ext>
              </c:extLst>
            </c:dLbl>
            <c:dLbl>
              <c:idx val="2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6273-48FA-AC67-5315294629D9}"/>
                </c:ext>
              </c:extLst>
            </c:dLbl>
            <c:dLbl>
              <c:idx val="2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6273-48FA-AC67-5315294629D9}"/>
                </c:ext>
              </c:extLst>
            </c:dLbl>
            <c:dLbl>
              <c:idx val="2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6273-48FA-AC67-5315294629D9}"/>
                </c:ext>
              </c:extLst>
            </c:dLbl>
            <c:dLbl>
              <c:idx val="2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6273-48FA-AC67-5315294629D9}"/>
                </c:ext>
              </c:extLst>
            </c:dLbl>
            <c:dLbl>
              <c:idx val="3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6273-48FA-AC67-5315294629D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44197</c:v>
                </c:pt>
                <c:pt idx="1">
                  <c:v>44562</c:v>
                </c:pt>
              </c:numCache>
            </c:numRef>
          </c:cat>
          <c:val>
            <c:numRef>
              <c:f>calculation!$BN$68:$BN$98</c:f>
              <c:numCache>
                <c:formatCode>General</c:formatCode>
                <c:ptCount val="31"/>
                <c:pt idx="0">
                  <c:v>1</c:v>
                </c:pt>
                <c:pt idx="1">
                  <c:v>0</c:v>
                </c:pt>
              </c:numCache>
            </c:numRef>
          </c:val>
          <c:extLst>
            <c:ext xmlns:c15="http://schemas.microsoft.com/office/drawing/2012/chart" uri="{02D57815-91ED-43cb-92C2-25804820EDAC}">
              <c15:datalabelsRange>
                <c15:f>calculation!$BT$68:$BT$98</c15:f>
                <c15:dlblRangeCache>
                  <c:ptCount val="31"/>
                  <c:pt idx="0">
                    <c:v>50%</c:v>
                  </c:pt>
                </c15:dlblRangeCache>
              </c15:datalabelsRange>
            </c:ext>
            <c:ext xmlns:c16="http://schemas.microsoft.com/office/drawing/2014/chart" uri="{C3380CC4-5D6E-409C-BE32-E72D297353CC}">
              <c16:uniqueId val="{00000001-CD47-493C-AF6D-4378ECB75163}"/>
            </c:ext>
          </c:extLst>
        </c:ser>
        <c:ser>
          <c:idx val="2"/>
          <c:order val="2"/>
          <c:tx>
            <c:strRef>
              <c:f>calculation!$BO$67</c:f>
              <c:strCache>
                <c:ptCount val="1"/>
                <c:pt idx="0">
                  <c:v>negative</c:v>
                </c:pt>
              </c:strCache>
            </c:strRef>
          </c:tx>
          <c:spPr>
            <a:solidFill>
              <a:srgbClr val="C00000"/>
            </a:solidFill>
            <a:ln>
              <a:noFill/>
            </a:ln>
            <a:effectLst/>
          </c:spPr>
          <c:invertIfNegative val="0"/>
          <c:dLbls>
            <c:dLbl>
              <c:idx val="0"/>
              <c:tx>
                <c:rich>
                  <a:bodyPr/>
                  <a:lstStyle/>
                  <a:p>
                    <a:fld id="{2CBD145C-DAF0-418A-8647-A0CE79B9FCBD}"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E-6273-48FA-AC67-5315294629D9}"/>
                </c:ext>
              </c:extLst>
            </c:dLbl>
            <c:dLbl>
              <c:idx val="1"/>
              <c:tx>
                <c:rich>
                  <a:bodyPr/>
                  <a:lstStyle/>
                  <a:p>
                    <a:fld id="{A3DF147C-533E-4087-B97C-A13B9DA2ADF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F-6273-48FA-AC67-5315294629D9}"/>
                </c:ext>
              </c:extLst>
            </c:dLbl>
            <c:dLbl>
              <c:idx val="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6273-48FA-AC67-5315294629D9}"/>
                </c:ext>
              </c:extLst>
            </c:dLbl>
            <c:dLbl>
              <c:idx val="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6273-48FA-AC67-5315294629D9}"/>
                </c:ext>
              </c:extLst>
            </c:dLbl>
            <c:dLbl>
              <c:idx val="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6273-48FA-AC67-5315294629D9}"/>
                </c:ext>
              </c:extLst>
            </c:dLbl>
            <c:dLbl>
              <c:idx val="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6273-48FA-AC67-5315294629D9}"/>
                </c:ext>
              </c:extLst>
            </c:dLbl>
            <c:dLbl>
              <c:idx val="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6273-48FA-AC67-5315294629D9}"/>
                </c:ext>
              </c:extLst>
            </c:dLbl>
            <c:dLbl>
              <c:idx val="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6273-48FA-AC67-5315294629D9}"/>
                </c:ext>
              </c:extLst>
            </c:dLbl>
            <c:dLbl>
              <c:idx val="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6273-48FA-AC67-5315294629D9}"/>
                </c:ext>
              </c:extLst>
            </c:dLbl>
            <c:dLbl>
              <c:idx val="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7-6273-48FA-AC67-5315294629D9}"/>
                </c:ext>
              </c:extLst>
            </c:dLbl>
            <c:dLbl>
              <c:idx val="1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6273-48FA-AC67-5315294629D9}"/>
                </c:ext>
              </c:extLst>
            </c:dLbl>
            <c:dLbl>
              <c:idx val="11"/>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6273-48FA-AC67-5315294629D9}"/>
                </c:ext>
              </c:extLst>
            </c:dLbl>
            <c:dLbl>
              <c:idx val="1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6273-48FA-AC67-5315294629D9}"/>
                </c:ext>
              </c:extLst>
            </c:dLbl>
            <c:dLbl>
              <c:idx val="1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6273-48FA-AC67-5315294629D9}"/>
                </c:ext>
              </c:extLst>
            </c:dLbl>
            <c:dLbl>
              <c:idx val="1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6273-48FA-AC67-5315294629D9}"/>
                </c:ext>
              </c:extLst>
            </c:dLbl>
            <c:dLbl>
              <c:idx val="1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6273-48FA-AC67-5315294629D9}"/>
                </c:ext>
              </c:extLst>
            </c:dLbl>
            <c:dLbl>
              <c:idx val="1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6273-48FA-AC67-5315294629D9}"/>
                </c:ext>
              </c:extLst>
            </c:dLbl>
            <c:dLbl>
              <c:idx val="1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6273-48FA-AC67-5315294629D9}"/>
                </c:ext>
              </c:extLst>
            </c:dLbl>
            <c:dLbl>
              <c:idx val="1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6273-48FA-AC67-5315294629D9}"/>
                </c:ext>
              </c:extLst>
            </c:dLbl>
            <c:dLbl>
              <c:idx val="1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6273-48FA-AC67-5315294629D9}"/>
                </c:ext>
              </c:extLst>
            </c:dLbl>
            <c:dLbl>
              <c:idx val="2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6273-48FA-AC67-5315294629D9}"/>
                </c:ext>
              </c:extLst>
            </c:dLbl>
            <c:dLbl>
              <c:idx val="21"/>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6273-48FA-AC67-5315294629D9}"/>
                </c:ext>
              </c:extLst>
            </c:dLbl>
            <c:dLbl>
              <c:idx val="22"/>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6273-48FA-AC67-5315294629D9}"/>
                </c:ext>
              </c:extLst>
            </c:dLbl>
            <c:dLbl>
              <c:idx val="23"/>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6273-48FA-AC67-5315294629D9}"/>
                </c:ext>
              </c:extLst>
            </c:dLbl>
            <c:dLbl>
              <c:idx val="24"/>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6273-48FA-AC67-5315294629D9}"/>
                </c:ext>
              </c:extLst>
            </c:dLbl>
            <c:dLbl>
              <c:idx val="25"/>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6273-48FA-AC67-5315294629D9}"/>
                </c:ext>
              </c:extLst>
            </c:dLbl>
            <c:dLbl>
              <c:idx val="26"/>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6273-48FA-AC67-5315294629D9}"/>
                </c:ext>
              </c:extLst>
            </c:dLbl>
            <c:dLbl>
              <c:idx val="27"/>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6273-48FA-AC67-5315294629D9}"/>
                </c:ext>
              </c:extLst>
            </c:dLbl>
            <c:dLbl>
              <c:idx val="28"/>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6273-48FA-AC67-5315294629D9}"/>
                </c:ext>
              </c:extLst>
            </c:dLbl>
            <c:dLbl>
              <c:idx val="29"/>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6273-48FA-AC67-5315294629D9}"/>
                </c:ext>
              </c:extLst>
            </c:dLbl>
            <c:dLbl>
              <c:idx val="30"/>
              <c:tx>
                <c:rich>
                  <a:bodyPr/>
                  <a:lstStyle/>
                  <a:p>
                    <a:endParaRPr lang="en-ID"/>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6273-48FA-AC67-5315294629D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44197</c:v>
                </c:pt>
                <c:pt idx="1">
                  <c:v>44562</c:v>
                </c:pt>
              </c:numCache>
            </c:numRef>
          </c:cat>
          <c:val>
            <c:numRef>
              <c:f>calculation!$BO$68:$BO$98</c:f>
              <c:numCache>
                <c:formatCode>General</c:formatCode>
                <c:ptCount val="31"/>
                <c:pt idx="0">
                  <c:v>1</c:v>
                </c:pt>
                <c:pt idx="1">
                  <c:v>3</c:v>
                </c:pt>
              </c:numCache>
            </c:numRef>
          </c:val>
          <c:extLst>
            <c:ext xmlns:c15="http://schemas.microsoft.com/office/drawing/2012/chart" uri="{02D57815-91ED-43cb-92C2-25804820EDAC}">
              <c15:datalabelsRange>
                <c15:f>calculation!$BU$68:$BU$98</c15:f>
                <c15:dlblRangeCache>
                  <c:ptCount val="31"/>
                  <c:pt idx="0">
                    <c:v>50%</c:v>
                  </c:pt>
                  <c:pt idx="1">
                    <c:v>100%</c:v>
                  </c:pt>
                </c15:dlblRangeCache>
              </c15:datalabelsRange>
            </c:ext>
            <c:ext xmlns:c16="http://schemas.microsoft.com/office/drawing/2014/chart" uri="{C3380CC4-5D6E-409C-BE32-E72D297353CC}">
              <c16:uniqueId val="{00000002-CD47-493C-AF6D-4378ECB75163}"/>
            </c:ext>
          </c:extLst>
        </c:ser>
        <c:dLbls>
          <c:showLegendKey val="0"/>
          <c:showVal val="0"/>
          <c:showCatName val="0"/>
          <c:showSerName val="0"/>
          <c:showPercent val="0"/>
          <c:showBubbleSize val="0"/>
        </c:dLbls>
        <c:gapWidth val="75"/>
        <c:overlap val="100"/>
        <c:axId val="1105380432"/>
        <c:axId val="1247242688"/>
      </c:barChart>
      <c:lineChart>
        <c:grouping val="standard"/>
        <c:varyColors val="0"/>
        <c:ser>
          <c:idx val="3"/>
          <c:order val="3"/>
          <c:tx>
            <c:strRef>
              <c:f>calculation!$BQ$67</c:f>
              <c:strCache>
                <c:ptCount val="1"/>
                <c:pt idx="0">
                  <c:v>total sentiment</c:v>
                </c:pt>
              </c:strCache>
            </c:strRef>
          </c:tx>
          <c:spPr>
            <a:ln w="28575" cap="rnd">
              <a:solidFill>
                <a:schemeClr val="bg1">
                  <a:lumMod val="85000"/>
                </a:schemeClr>
              </a:solidFill>
              <a:prstDash val="dash"/>
              <a:round/>
            </a:ln>
            <a:effectLst/>
          </c:spPr>
          <c:marker>
            <c:symbol val="circle"/>
            <c:size val="5"/>
            <c:spPr>
              <a:noFill/>
              <a:ln w="9525">
                <a:noFill/>
              </a:ln>
              <a:effectLst/>
            </c:spPr>
          </c:marker>
          <c:dLbls>
            <c:dLbl>
              <c:idx val="0"/>
              <c:tx>
                <c:rich>
                  <a:bodyPr/>
                  <a:lstStyle/>
                  <a:p>
                    <a:fld id="{58F3DFB0-7233-4AEC-BA9D-419A51194D76}" type="CELLRANGE">
                      <a:rPr lang="en-US"/>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CD47-493C-AF6D-4378ECB75163}"/>
                </c:ext>
              </c:extLst>
            </c:dLbl>
            <c:dLbl>
              <c:idx val="1"/>
              <c:tx>
                <c:rich>
                  <a:bodyPr/>
                  <a:lstStyle/>
                  <a:p>
                    <a:fld id="{069D80CC-589F-4370-A5F5-1C08D041A89C}" type="CELLRANGE">
                      <a:rPr lang="en-ID"/>
                      <a:pPr/>
                      <a:t>[CELLRANGE]</a:t>
                    </a:fld>
                    <a:endParaRPr lang="en-ID"/>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D47-493C-AF6D-4378ECB75163}"/>
                </c:ext>
              </c:extLst>
            </c:dLbl>
            <c:dLbl>
              <c:idx val="2"/>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CD47-493C-AF6D-4378ECB75163}"/>
                </c:ext>
              </c:extLst>
            </c:dLbl>
            <c:dLbl>
              <c:idx val="3"/>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CD47-493C-AF6D-4378ECB75163}"/>
                </c:ext>
              </c:extLst>
            </c:dLbl>
            <c:dLbl>
              <c:idx val="4"/>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CD47-493C-AF6D-4378ECB75163}"/>
                </c:ext>
              </c:extLst>
            </c:dLbl>
            <c:dLbl>
              <c:idx val="5"/>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CD47-493C-AF6D-4378ECB75163}"/>
                </c:ext>
              </c:extLst>
            </c:dLbl>
            <c:dLbl>
              <c:idx val="6"/>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CD47-493C-AF6D-4378ECB75163}"/>
                </c:ext>
              </c:extLst>
            </c:dLbl>
            <c:dLbl>
              <c:idx val="7"/>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CD47-493C-AF6D-4378ECB75163}"/>
                </c:ext>
              </c:extLst>
            </c:dLbl>
            <c:dLbl>
              <c:idx val="8"/>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CD47-493C-AF6D-4378ECB75163}"/>
                </c:ext>
              </c:extLst>
            </c:dLbl>
            <c:dLbl>
              <c:idx val="9"/>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CD47-493C-AF6D-4378ECB75163}"/>
                </c:ext>
              </c:extLst>
            </c:dLbl>
            <c:dLbl>
              <c:idx val="10"/>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CD47-493C-AF6D-4378ECB75163}"/>
                </c:ext>
              </c:extLst>
            </c:dLbl>
            <c:dLbl>
              <c:idx val="11"/>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CD47-493C-AF6D-4378ECB75163}"/>
                </c:ext>
              </c:extLst>
            </c:dLbl>
            <c:dLbl>
              <c:idx val="12"/>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CD47-493C-AF6D-4378ECB75163}"/>
                </c:ext>
              </c:extLst>
            </c:dLbl>
            <c:dLbl>
              <c:idx val="13"/>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CD47-493C-AF6D-4378ECB75163}"/>
                </c:ext>
              </c:extLst>
            </c:dLbl>
            <c:dLbl>
              <c:idx val="14"/>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CD47-493C-AF6D-4378ECB75163}"/>
                </c:ext>
              </c:extLst>
            </c:dLbl>
            <c:dLbl>
              <c:idx val="15"/>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CD47-493C-AF6D-4378ECB75163}"/>
                </c:ext>
              </c:extLst>
            </c:dLbl>
            <c:dLbl>
              <c:idx val="16"/>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CD47-493C-AF6D-4378ECB75163}"/>
                </c:ext>
              </c:extLst>
            </c:dLbl>
            <c:dLbl>
              <c:idx val="17"/>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CD47-493C-AF6D-4378ECB75163}"/>
                </c:ext>
              </c:extLst>
            </c:dLbl>
            <c:dLbl>
              <c:idx val="18"/>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CD47-493C-AF6D-4378ECB75163}"/>
                </c:ext>
              </c:extLst>
            </c:dLbl>
            <c:dLbl>
              <c:idx val="19"/>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CD47-493C-AF6D-4378ECB75163}"/>
                </c:ext>
              </c:extLst>
            </c:dLbl>
            <c:dLbl>
              <c:idx val="20"/>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CD47-493C-AF6D-4378ECB75163}"/>
                </c:ext>
              </c:extLst>
            </c:dLbl>
            <c:dLbl>
              <c:idx val="21"/>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CD47-493C-AF6D-4378ECB75163}"/>
                </c:ext>
              </c:extLst>
            </c:dLbl>
            <c:dLbl>
              <c:idx val="22"/>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CD47-493C-AF6D-4378ECB75163}"/>
                </c:ext>
              </c:extLst>
            </c:dLbl>
            <c:dLbl>
              <c:idx val="23"/>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CD47-493C-AF6D-4378ECB75163}"/>
                </c:ext>
              </c:extLst>
            </c:dLbl>
            <c:dLbl>
              <c:idx val="24"/>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CD47-493C-AF6D-4378ECB75163}"/>
                </c:ext>
              </c:extLst>
            </c:dLbl>
            <c:dLbl>
              <c:idx val="25"/>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CD47-493C-AF6D-4378ECB75163}"/>
                </c:ext>
              </c:extLst>
            </c:dLbl>
            <c:dLbl>
              <c:idx val="26"/>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CD47-493C-AF6D-4378ECB75163}"/>
                </c:ext>
              </c:extLst>
            </c:dLbl>
            <c:dLbl>
              <c:idx val="27"/>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CD47-493C-AF6D-4378ECB75163}"/>
                </c:ext>
              </c:extLst>
            </c:dLbl>
            <c:dLbl>
              <c:idx val="28"/>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CD47-493C-AF6D-4378ECB75163}"/>
                </c:ext>
              </c:extLst>
            </c:dLbl>
            <c:dLbl>
              <c:idx val="29"/>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CD47-493C-AF6D-4378ECB75163}"/>
                </c:ext>
              </c:extLst>
            </c:dLbl>
            <c:dLbl>
              <c:idx val="30"/>
              <c:tx>
                <c:rich>
                  <a:bodyPr/>
                  <a:lstStyle/>
                  <a:p>
                    <a:endParaRPr lang="en-ID"/>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CD47-493C-AF6D-4378ECB7516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calculation!$BL$68:$BL$98</c:f>
              <c:numCache>
                <c:formatCode>yyyy\-mm\-dd;@</c:formatCode>
                <c:ptCount val="31"/>
                <c:pt idx="0">
                  <c:v>44197</c:v>
                </c:pt>
                <c:pt idx="1">
                  <c:v>44562</c:v>
                </c:pt>
              </c:numCache>
            </c:numRef>
          </c:cat>
          <c:val>
            <c:numRef>
              <c:f>calculation!$BQ$68:$BQ$98</c:f>
              <c:numCache>
                <c:formatCode>General</c:formatCode>
                <c:ptCount val="31"/>
                <c:pt idx="0">
                  <c:v>2</c:v>
                </c:pt>
                <c:pt idx="1">
                  <c:v>3</c:v>
                </c:pt>
              </c:numCache>
            </c:numRef>
          </c:val>
          <c:smooth val="0"/>
          <c:extLst>
            <c:ext xmlns:c15="http://schemas.microsoft.com/office/drawing/2012/chart" uri="{02D57815-91ED-43cb-92C2-25804820EDAC}">
              <c15:datalabelsRange>
                <c15:f>calculation!$BR$68:$BR$98</c15:f>
                <c15:dlblRangeCache>
                  <c:ptCount val="31"/>
                  <c:pt idx="0">
                    <c:v>2</c:v>
                  </c:pt>
                  <c:pt idx="1">
                    <c:v>3</c:v>
                  </c:pt>
                </c15:dlblRangeCache>
              </c15:datalabelsRange>
            </c:ext>
            <c:ext xmlns:c16="http://schemas.microsoft.com/office/drawing/2014/chart" uri="{C3380CC4-5D6E-409C-BE32-E72D297353CC}">
              <c16:uniqueId val="{00000022-CD47-493C-AF6D-4378ECB75163}"/>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0"/>
        <c:axPos val="b"/>
        <c:numFmt formatCode="yyyy\-mm\-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242688"/>
        <c:crosses val="autoZero"/>
        <c:auto val="1"/>
        <c:lblOffset val="100"/>
        <c:baseTimeUnit val="years"/>
      </c:dateAx>
      <c:valAx>
        <c:axId val="1247242688"/>
        <c:scaling>
          <c:orientation val="minMax"/>
        </c:scaling>
        <c:delete val="1"/>
        <c:axPos val="l"/>
        <c:numFmt formatCode="General" sourceLinked="1"/>
        <c:majorTickMark val="out"/>
        <c:minorTickMark val="none"/>
        <c:tickLblPos val="nextTo"/>
        <c:crossAx val="1105380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calculation!$D$4" max="100" min="1" page="10"/>
</file>

<file path=xl/ctrlProps/ctrlProp2.xml><?xml version="1.0" encoding="utf-8"?>
<formControlPr xmlns="http://schemas.microsoft.com/office/spreadsheetml/2009/9/main" objectType="Drop" dropStyle="combo" dx="26" fmlaLink="calculation!$D$11" fmlaRange="calculation!$E$22:$E$23" noThreeD="1" sel="1" val="0"/>
</file>

<file path=xl/ctrlProps/ctrlProp3.xml><?xml version="1.0" encoding="utf-8"?>
<formControlPr xmlns="http://schemas.microsoft.com/office/spreadsheetml/2009/9/main" objectType="Drop" dropStyle="combo" dx="26" fmlaLink="calculation!$D$10" fmlaRange="calculation!$BK$5:$BK$7" noThreeD="1" sel="3" val="0"/>
</file>

<file path=xl/ctrlProps/ctrlProp4.xml><?xml version="1.0" encoding="utf-8"?>
<formControlPr xmlns="http://schemas.microsoft.com/office/spreadsheetml/2009/9/main" objectType="Drop" dropStyle="combo" dx="26" fmlaLink="calculation!$D$3" fmlaRange="calculation!$C$22:$C$28" noThreeD="1" sel="5" val="0"/>
</file>

<file path=xl/ctrlProps/ctrlProp5.xml><?xml version="1.0" encoding="utf-8"?>
<formControlPr xmlns="http://schemas.microsoft.com/office/spreadsheetml/2009/9/main" objectType="Drop" dropStyle="combo" dx="26" fmlaLink="'EDA-calculation'!$B$7" fmlaRange="'EDA-calculation'!$B$10:$B$15" noThreeD="1" sel="6"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17</xdr:col>
      <xdr:colOff>42525</xdr:colOff>
      <xdr:row>2</xdr:row>
      <xdr:rowOff>167019</xdr:rowOff>
    </xdr:from>
    <xdr:to>
      <xdr:col>19</xdr:col>
      <xdr:colOff>733771</xdr:colOff>
      <xdr:row>7</xdr:row>
      <xdr:rowOff>132589</xdr:rowOff>
    </xdr:to>
    <xdr:sp macro="" textlink="">
      <xdr:nvSpPr>
        <xdr:cNvPr id="25" name="Rectangle: Rounded Corners 24">
          <a:extLst>
            <a:ext uri="{FF2B5EF4-FFF2-40B4-BE49-F238E27FC236}">
              <a16:creationId xmlns:a16="http://schemas.microsoft.com/office/drawing/2014/main" id="{78E00FA7-3E91-4E7E-BB1B-D1E119AA3D74}"/>
            </a:ext>
          </a:extLst>
        </xdr:cNvPr>
        <xdr:cNvSpPr/>
      </xdr:nvSpPr>
      <xdr:spPr>
        <a:xfrm>
          <a:off x="11864842" y="529158"/>
          <a:ext cx="2162434" cy="87091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7</xdr:col>
      <xdr:colOff>63769</xdr:colOff>
      <xdr:row>8</xdr:row>
      <xdr:rowOff>88776</xdr:rowOff>
    </xdr:from>
    <xdr:to>
      <xdr:col>16</xdr:col>
      <xdr:colOff>109035</xdr:colOff>
      <xdr:row>22</xdr:row>
      <xdr:rowOff>137976</xdr:rowOff>
    </xdr:to>
    <xdr:sp macro="" textlink="">
      <xdr:nvSpPr>
        <xdr:cNvPr id="24" name="Rectangle 23">
          <a:extLst>
            <a:ext uri="{FF2B5EF4-FFF2-40B4-BE49-F238E27FC236}">
              <a16:creationId xmlns:a16="http://schemas.microsoft.com/office/drawing/2014/main" id="{51C9CC8F-89C3-479A-9320-6AF821D730B8}"/>
            </a:ext>
          </a:extLst>
        </xdr:cNvPr>
        <xdr:cNvSpPr/>
      </xdr:nvSpPr>
      <xdr:spPr>
        <a:xfrm>
          <a:off x="4424612" y="1557692"/>
          <a:ext cx="6848182" cy="261980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16</xdr:col>
      <xdr:colOff>144162</xdr:colOff>
      <xdr:row>14</xdr:row>
      <xdr:rowOff>144162</xdr:rowOff>
    </xdr:from>
    <xdr:to>
      <xdr:col>26</xdr:col>
      <xdr:colOff>545756</xdr:colOff>
      <xdr:row>55</xdr:row>
      <xdr:rowOff>102973</xdr:rowOff>
    </xdr:to>
    <xdr:sp macro="" textlink="">
      <xdr:nvSpPr>
        <xdr:cNvPr id="15" name="Rectangle 14">
          <a:extLst>
            <a:ext uri="{FF2B5EF4-FFF2-40B4-BE49-F238E27FC236}">
              <a16:creationId xmlns:a16="http://schemas.microsoft.com/office/drawing/2014/main" id="{E6761FC5-E7C5-3A56-052E-2583ADDE71EE}"/>
            </a:ext>
          </a:extLst>
        </xdr:cNvPr>
        <xdr:cNvSpPr/>
      </xdr:nvSpPr>
      <xdr:spPr>
        <a:xfrm>
          <a:off x="11308067" y="2684162"/>
          <a:ext cx="6449213" cy="739738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7</xdr:col>
      <xdr:colOff>60538</xdr:colOff>
      <xdr:row>36</xdr:row>
      <xdr:rowOff>90984</xdr:rowOff>
    </xdr:from>
    <xdr:to>
      <xdr:col>16</xdr:col>
      <xdr:colOff>104296</xdr:colOff>
      <xdr:row>55</xdr:row>
      <xdr:rowOff>92673</xdr:rowOff>
    </xdr:to>
    <xdr:sp macro="" textlink="">
      <xdr:nvSpPr>
        <xdr:cNvPr id="14" name="Rectangle 13">
          <a:extLst>
            <a:ext uri="{FF2B5EF4-FFF2-40B4-BE49-F238E27FC236}">
              <a16:creationId xmlns:a16="http://schemas.microsoft.com/office/drawing/2014/main" id="{A3FC731B-8A18-46DE-B2B9-5F8B86712A19}"/>
            </a:ext>
          </a:extLst>
        </xdr:cNvPr>
        <xdr:cNvSpPr/>
      </xdr:nvSpPr>
      <xdr:spPr>
        <a:xfrm>
          <a:off x="4473314" y="5732059"/>
          <a:ext cx="6355848" cy="34591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7</xdr:col>
      <xdr:colOff>59030</xdr:colOff>
      <xdr:row>23</xdr:row>
      <xdr:rowOff>30179</xdr:rowOff>
    </xdr:from>
    <xdr:to>
      <xdr:col>16</xdr:col>
      <xdr:colOff>104296</xdr:colOff>
      <xdr:row>36</xdr:row>
      <xdr:rowOff>45268</xdr:rowOff>
    </xdr:to>
    <xdr:sp macro="" textlink="">
      <xdr:nvSpPr>
        <xdr:cNvPr id="13" name="Rectangle 12">
          <a:extLst>
            <a:ext uri="{FF2B5EF4-FFF2-40B4-BE49-F238E27FC236}">
              <a16:creationId xmlns:a16="http://schemas.microsoft.com/office/drawing/2014/main" id="{63FFC2A5-818A-EB96-61DC-5A8B39AA99F1}"/>
            </a:ext>
          </a:extLst>
        </xdr:cNvPr>
        <xdr:cNvSpPr/>
      </xdr:nvSpPr>
      <xdr:spPr>
        <a:xfrm>
          <a:off x="4428624" y="3244867"/>
          <a:ext cx="6307953" cy="233680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16</xdr:col>
      <xdr:colOff>311617</xdr:colOff>
      <xdr:row>19</xdr:row>
      <xdr:rowOff>48358</xdr:rowOff>
    </xdr:from>
    <xdr:to>
      <xdr:col>26</xdr:col>
      <xdr:colOff>391296</xdr:colOff>
      <xdr:row>54</xdr:row>
      <xdr:rowOff>159219</xdr:rowOff>
    </xdr:to>
    <xdr:grpSp>
      <xdr:nvGrpSpPr>
        <xdr:cNvPr id="2" name="Group 1">
          <a:extLst>
            <a:ext uri="{FF2B5EF4-FFF2-40B4-BE49-F238E27FC236}">
              <a16:creationId xmlns:a16="http://schemas.microsoft.com/office/drawing/2014/main" id="{AD97CCD0-033B-45FA-AC99-F694D0068DA1}"/>
            </a:ext>
          </a:extLst>
        </xdr:cNvPr>
        <xdr:cNvGrpSpPr/>
      </xdr:nvGrpSpPr>
      <xdr:grpSpPr>
        <a:xfrm>
          <a:off x="11580425" y="3389435"/>
          <a:ext cx="6923025" cy="6265476"/>
          <a:chOff x="38707736" y="18918808"/>
          <a:chExt cx="11023916" cy="7249440"/>
        </a:xfrm>
        <a:solidFill>
          <a:schemeClr val="bg1">
            <a:lumMod val="85000"/>
          </a:schemeClr>
        </a:solidFill>
      </xdr:grpSpPr>
      <xdr:graphicFrame macro="">
        <xdr:nvGraphicFramePr>
          <xdr:cNvPr id="3" name="Chart 2">
            <a:extLst>
              <a:ext uri="{FF2B5EF4-FFF2-40B4-BE49-F238E27FC236}">
                <a16:creationId xmlns:a16="http://schemas.microsoft.com/office/drawing/2014/main" id="{BBE721F7-3B46-73E7-B66A-5FD4EC9EDDE3}"/>
              </a:ext>
            </a:extLst>
          </xdr:cNvPr>
          <xdr:cNvGraphicFramePr>
            <a:graphicFrameLocks/>
          </xdr:cNvGraphicFramePr>
        </xdr:nvGraphicFramePr>
        <xdr:xfrm>
          <a:off x="38712302" y="18918808"/>
          <a:ext cx="11017740" cy="2400284"/>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1EDAFE35-EC44-76DD-8352-E2E0C15F2488}"/>
              </a:ext>
            </a:extLst>
          </xdr:cNvPr>
          <xdr:cNvGraphicFramePr>
            <a:graphicFrameLocks/>
          </xdr:cNvGraphicFramePr>
        </xdr:nvGraphicFramePr>
        <xdr:xfrm>
          <a:off x="38707736" y="21277878"/>
          <a:ext cx="11023916" cy="489037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7</xdr:col>
      <xdr:colOff>207418</xdr:colOff>
      <xdr:row>36</xdr:row>
      <xdr:rowOff>125103</xdr:rowOff>
    </xdr:from>
    <xdr:to>
      <xdr:col>15</xdr:col>
      <xdr:colOff>592190</xdr:colOff>
      <xdr:row>55</xdr:row>
      <xdr:rowOff>22520</xdr:rowOff>
    </xdr:to>
    <xdr:graphicFrame macro="">
      <xdr:nvGraphicFramePr>
        <xdr:cNvPr id="5" name="Chart 4">
          <a:extLst>
            <a:ext uri="{FF2B5EF4-FFF2-40B4-BE49-F238E27FC236}">
              <a16:creationId xmlns:a16="http://schemas.microsoft.com/office/drawing/2014/main" id="{8AD920A5-D987-407A-A326-30390E5185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162900</xdr:colOff>
          <xdr:row>24</xdr:row>
          <xdr:rowOff>120247</xdr:rowOff>
        </xdr:from>
        <xdr:to>
          <xdr:col>13</xdr:col>
          <xdr:colOff>495689</xdr:colOff>
          <xdr:row>35</xdr:row>
          <xdr:rowOff>123823</xdr:rowOff>
        </xdr:to>
        <xdr:pic>
          <xdr:nvPicPr>
            <xdr:cNvPr id="6" name="Picture 5">
              <a:extLst>
                <a:ext uri="{FF2B5EF4-FFF2-40B4-BE49-F238E27FC236}">
                  <a16:creationId xmlns:a16="http://schemas.microsoft.com/office/drawing/2014/main" id="{2B09ABF4-D8E4-40B6-937D-95ADE4C6E5CF}"/>
                </a:ext>
              </a:extLst>
            </xdr:cNvPr>
            <xdr:cNvPicPr>
              <a:picLocks noChangeAspect="1" noChangeArrowheads="1"/>
              <a:extLst>
                <a:ext uri="{84589F7E-364E-4C9E-8A38-B11213B215E9}">
                  <a14:cameraTool cellRange="calculation!$AQ$7:$AU$17" spid="_x0000_s7410"/>
                </a:ext>
              </a:extLst>
            </xdr:cNvPicPr>
          </xdr:nvPicPr>
          <xdr:blipFill>
            <a:blip xmlns:r="http://schemas.openxmlformats.org/officeDocument/2006/relationships" r:embed="rId4"/>
            <a:srcRect/>
            <a:stretch>
              <a:fillRect/>
            </a:stretch>
          </xdr:blipFill>
          <xdr:spPr bwMode="auto">
            <a:xfrm>
              <a:off x="5139713" y="3513528"/>
              <a:ext cx="4694651" cy="1968108"/>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373380</xdr:colOff>
          <xdr:row>24</xdr:row>
          <xdr:rowOff>167640</xdr:rowOff>
        </xdr:from>
        <xdr:to>
          <xdr:col>8</xdr:col>
          <xdr:colOff>15240</xdr:colOff>
          <xdr:row>35</xdr:row>
          <xdr:rowOff>91440</xdr:rowOff>
        </xdr:to>
        <xdr:sp macro="" textlink="">
          <xdr:nvSpPr>
            <xdr:cNvPr id="7169" name="Scroll Bar 1" hidden="1">
              <a:extLst>
                <a:ext uri="{63B3BB69-23CF-44E3-9099-C40C66FF867C}">
                  <a14:compatExt spid="_x0000_s7169"/>
                </a:ext>
                <a:ext uri="{FF2B5EF4-FFF2-40B4-BE49-F238E27FC236}">
                  <a16:creationId xmlns:a16="http://schemas.microsoft.com/office/drawing/2014/main" id="{00000000-0008-0000-0000-000001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29087</xdr:colOff>
      <xdr:row>22</xdr:row>
      <xdr:rowOff>152876</xdr:rowOff>
    </xdr:from>
    <xdr:to>
      <xdr:col>13</xdr:col>
      <xdr:colOff>279148</xdr:colOff>
      <xdr:row>24</xdr:row>
      <xdr:rowOff>72666</xdr:rowOff>
    </xdr:to>
    <xdr:sp macro="" textlink="">
      <xdr:nvSpPr>
        <xdr:cNvPr id="7" name="TextBox 6">
          <a:extLst>
            <a:ext uri="{FF2B5EF4-FFF2-40B4-BE49-F238E27FC236}">
              <a16:creationId xmlns:a16="http://schemas.microsoft.com/office/drawing/2014/main" id="{5F7E8FF2-80A7-4F51-9163-AD21E8BA143A}"/>
            </a:ext>
          </a:extLst>
        </xdr:cNvPr>
        <xdr:cNvSpPr txBox="1"/>
      </xdr:nvSpPr>
      <xdr:spPr>
        <a:xfrm>
          <a:off x="5982212" y="3188970"/>
          <a:ext cx="3107561" cy="276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400" kern="1200">
              <a:solidFill>
                <a:schemeClr val="tx1">
                  <a:lumMod val="65000"/>
                  <a:lumOff val="35000"/>
                </a:schemeClr>
              </a:solidFill>
            </a:rPr>
            <a:t>Table</a:t>
          </a:r>
          <a:r>
            <a:rPr lang="en-ID" sz="1400" kern="1200" baseline="0">
              <a:solidFill>
                <a:schemeClr val="tx1">
                  <a:lumMod val="65000"/>
                  <a:lumOff val="35000"/>
                </a:schemeClr>
              </a:solidFill>
            </a:rPr>
            <a:t> Frequency Sentiment per Aspect</a:t>
          </a:r>
          <a:endParaRPr lang="en-ID" sz="1400" kern="1200">
            <a:solidFill>
              <a:schemeClr val="tx1">
                <a:lumMod val="65000"/>
                <a:lumOff val="35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19</xdr:col>
          <xdr:colOff>129540</xdr:colOff>
          <xdr:row>16</xdr:row>
          <xdr:rowOff>129540</xdr:rowOff>
        </xdr:from>
        <xdr:to>
          <xdr:col>20</xdr:col>
          <xdr:colOff>548640</xdr:colOff>
          <xdr:row>18</xdr:row>
          <xdr:rowOff>0</xdr:rowOff>
        </xdr:to>
        <xdr:sp macro="" textlink="">
          <xdr:nvSpPr>
            <xdr:cNvPr id="7173" name="Drop Down 5" hidden="1">
              <a:extLst>
                <a:ext uri="{63B3BB69-23CF-44E3-9099-C40C66FF867C}">
                  <a14:compatExt spid="_x0000_s7173"/>
                </a:ext>
                <a:ext uri="{FF2B5EF4-FFF2-40B4-BE49-F238E27FC236}">
                  <a16:creationId xmlns:a16="http://schemas.microsoft.com/office/drawing/2014/main" id="{00000000-0008-0000-0000-000005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350520</xdr:colOff>
          <xdr:row>16</xdr:row>
          <xdr:rowOff>129540</xdr:rowOff>
        </xdr:from>
        <xdr:to>
          <xdr:col>18</xdr:col>
          <xdr:colOff>670560</xdr:colOff>
          <xdr:row>17</xdr:row>
          <xdr:rowOff>175260</xdr:rowOff>
        </xdr:to>
        <xdr:sp macro="" textlink="">
          <xdr:nvSpPr>
            <xdr:cNvPr id="7174" name="Drop Down 6" hidden="1">
              <a:extLst>
                <a:ext uri="{63B3BB69-23CF-44E3-9099-C40C66FF867C}">
                  <a14:compatExt spid="_x0000_s7174"/>
                </a:ext>
                <a:ext uri="{FF2B5EF4-FFF2-40B4-BE49-F238E27FC236}">
                  <a16:creationId xmlns:a16="http://schemas.microsoft.com/office/drawing/2014/main" id="{00000000-0008-0000-0000-000006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20</xdr:col>
      <xdr:colOff>249866</xdr:colOff>
      <xdr:row>8</xdr:row>
      <xdr:rowOff>94757</xdr:rowOff>
    </xdr:from>
    <xdr:to>
      <xdr:col>23</xdr:col>
      <xdr:colOff>389200</xdr:colOff>
      <xdr:row>11</xdr:row>
      <xdr:rowOff>174231</xdr:rowOff>
    </xdr:to>
    <xdr:grpSp>
      <xdr:nvGrpSpPr>
        <xdr:cNvPr id="9" name="Group 8">
          <a:extLst>
            <a:ext uri="{FF2B5EF4-FFF2-40B4-BE49-F238E27FC236}">
              <a16:creationId xmlns:a16="http://schemas.microsoft.com/office/drawing/2014/main" id="{56257C04-4DB3-EA72-77A0-89A2B60B505D}"/>
            </a:ext>
          </a:extLst>
        </xdr:cNvPr>
        <xdr:cNvGrpSpPr/>
      </xdr:nvGrpSpPr>
      <xdr:grpSpPr>
        <a:xfrm>
          <a:off x="14669251" y="1501526"/>
          <a:ext cx="1985718" cy="607013"/>
          <a:chOff x="8216777" y="577982"/>
          <a:chExt cx="1959302" cy="627715"/>
        </a:xfrm>
      </xdr:grpSpPr>
      <mc:AlternateContent xmlns:mc="http://schemas.openxmlformats.org/markup-compatibility/2006" xmlns:a14="http://schemas.microsoft.com/office/drawing/2010/main">
        <mc:Choice Requires="a14">
          <xdr:sp macro="" textlink="">
            <xdr:nvSpPr>
              <xdr:cNvPr id="7179" name="Drop Down 11" hidden="1">
                <a:extLst>
                  <a:ext uri="{63B3BB69-23CF-44E3-9099-C40C66FF867C}">
                    <a14:compatExt spid="_x0000_s7179"/>
                  </a:ext>
                  <a:ext uri="{FF2B5EF4-FFF2-40B4-BE49-F238E27FC236}">
                    <a16:creationId xmlns:a16="http://schemas.microsoft.com/office/drawing/2014/main" id="{00000000-0008-0000-0000-00000B1C0000}"/>
                  </a:ext>
                </a:extLst>
              </xdr:cNvPr>
              <xdr:cNvSpPr/>
            </xdr:nvSpPr>
            <xdr:spPr bwMode="auto">
              <a:xfrm>
                <a:off x="8260948" y="906684"/>
                <a:ext cx="1915131" cy="299013"/>
              </a:xfrm>
              <a:prstGeom prst="rect">
                <a:avLst/>
              </a:prstGeom>
              <a:noFill/>
              <a:ln w="9525">
                <a:miter lim="800000"/>
                <a:headEnd/>
                <a:tailEnd/>
              </a:ln>
            </xdr:spPr>
          </xdr:sp>
        </mc:Choice>
        <mc:Fallback xmlns=""/>
      </mc:AlternateContent>
      <xdr:sp macro="" textlink="">
        <xdr:nvSpPr>
          <xdr:cNvPr id="8" name="TextBox 7">
            <a:extLst>
              <a:ext uri="{FF2B5EF4-FFF2-40B4-BE49-F238E27FC236}">
                <a16:creationId xmlns:a16="http://schemas.microsoft.com/office/drawing/2014/main" id="{67567455-1A31-4BC2-B0BF-B573F2D2431A}"/>
              </a:ext>
            </a:extLst>
          </xdr:cNvPr>
          <xdr:cNvSpPr txBox="1"/>
        </xdr:nvSpPr>
        <xdr:spPr>
          <a:xfrm>
            <a:off x="8216777" y="577982"/>
            <a:ext cx="1437443" cy="3002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400" kern="1200">
                <a:solidFill>
                  <a:schemeClr val="tx1">
                    <a:lumMod val="65000"/>
                    <a:lumOff val="35000"/>
                  </a:schemeClr>
                </a:solidFill>
              </a:rPr>
              <a:t>Select Topic</a:t>
            </a:r>
          </a:p>
        </xdr:txBody>
      </xdr:sp>
    </xdr:grpSp>
    <xdr:clientData/>
  </xdr:twoCellAnchor>
  <xdr:twoCellAnchor>
    <xdr:from>
      <xdr:col>16</xdr:col>
      <xdr:colOff>338319</xdr:colOff>
      <xdr:row>15</xdr:row>
      <xdr:rowOff>79349</xdr:rowOff>
    </xdr:from>
    <xdr:to>
      <xdr:col>18</xdr:col>
      <xdr:colOff>464186</xdr:colOff>
      <xdr:row>16</xdr:row>
      <xdr:rowOff>105449</xdr:rowOff>
    </xdr:to>
    <xdr:sp macro="" textlink="">
      <xdr:nvSpPr>
        <xdr:cNvPr id="11" name="TextBox 10">
          <a:extLst>
            <a:ext uri="{FF2B5EF4-FFF2-40B4-BE49-F238E27FC236}">
              <a16:creationId xmlns:a16="http://schemas.microsoft.com/office/drawing/2014/main" id="{6180D470-E5D6-46F8-9F1D-C6182A79AE4A}"/>
            </a:ext>
          </a:extLst>
        </xdr:cNvPr>
        <xdr:cNvSpPr txBox="1"/>
      </xdr:nvSpPr>
      <xdr:spPr>
        <a:xfrm>
          <a:off x="10975427" y="1932863"/>
          <a:ext cx="1340948" cy="21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200" kern="1200">
              <a:solidFill>
                <a:schemeClr val="tx1">
                  <a:lumMod val="65000"/>
                  <a:lumOff val="35000"/>
                </a:schemeClr>
              </a:solidFill>
            </a:rPr>
            <a:t>Period Trend</a:t>
          </a:r>
        </a:p>
      </xdr:txBody>
    </xdr:sp>
    <xdr:clientData/>
  </xdr:twoCellAnchor>
  <xdr:twoCellAnchor>
    <xdr:from>
      <xdr:col>19</xdr:col>
      <xdr:colOff>111247</xdr:colOff>
      <xdr:row>15</xdr:row>
      <xdr:rowOff>82477</xdr:rowOff>
    </xdr:from>
    <xdr:to>
      <xdr:col>21</xdr:col>
      <xdr:colOff>237114</xdr:colOff>
      <xdr:row>16</xdr:row>
      <xdr:rowOff>108577</xdr:rowOff>
    </xdr:to>
    <xdr:sp macro="" textlink="">
      <xdr:nvSpPr>
        <xdr:cNvPr id="12" name="TextBox 11">
          <a:extLst>
            <a:ext uri="{FF2B5EF4-FFF2-40B4-BE49-F238E27FC236}">
              <a16:creationId xmlns:a16="http://schemas.microsoft.com/office/drawing/2014/main" id="{4E0F3EEE-93F1-44BC-9FE1-3AEDD65029ED}"/>
            </a:ext>
          </a:extLst>
        </xdr:cNvPr>
        <xdr:cNvSpPr txBox="1"/>
      </xdr:nvSpPr>
      <xdr:spPr>
        <a:xfrm>
          <a:off x="12570977" y="1935991"/>
          <a:ext cx="1340948" cy="21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200" kern="1200">
              <a:solidFill>
                <a:schemeClr val="tx1">
                  <a:lumMod val="65000"/>
                  <a:lumOff val="35000"/>
                </a:schemeClr>
              </a:solidFill>
            </a:rPr>
            <a:t>Metric</a:t>
          </a:r>
        </a:p>
      </xdr:txBody>
    </xdr:sp>
    <xdr:clientData/>
  </xdr:twoCellAnchor>
  <xdr:twoCellAnchor>
    <xdr:from>
      <xdr:col>18</xdr:col>
      <xdr:colOff>363810</xdr:colOff>
      <xdr:row>4</xdr:row>
      <xdr:rowOff>141864</xdr:rowOff>
    </xdr:from>
    <xdr:to>
      <xdr:col>19</xdr:col>
      <xdr:colOff>303002</xdr:colOff>
      <xdr:row>6</xdr:row>
      <xdr:rowOff>151801</xdr:rowOff>
    </xdr:to>
    <xdr:sp macro="" textlink="calculation!$H$7">
      <xdr:nvSpPr>
        <xdr:cNvPr id="18" name="TextBox 17">
          <a:extLst>
            <a:ext uri="{FF2B5EF4-FFF2-40B4-BE49-F238E27FC236}">
              <a16:creationId xmlns:a16="http://schemas.microsoft.com/office/drawing/2014/main" id="{5F5EB9CB-50D9-5DFA-A6D7-1D1D269D3CC0}"/>
            </a:ext>
          </a:extLst>
        </xdr:cNvPr>
        <xdr:cNvSpPr txBox="1"/>
      </xdr:nvSpPr>
      <xdr:spPr>
        <a:xfrm>
          <a:off x="12797236" y="866141"/>
          <a:ext cx="799271" cy="372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7D9A4EF-DECF-409C-A580-79639A4A6AC2}" type="TxLink">
            <a:rPr lang="en-US" sz="2800" b="0" i="0" u="none" strike="noStrike" kern="1200">
              <a:solidFill>
                <a:srgbClr val="70CD53"/>
              </a:solidFill>
              <a:latin typeface="Calibri"/>
              <a:ea typeface="Calibri"/>
              <a:cs typeface="Calibri"/>
            </a:rPr>
            <a:pPr algn="ctr"/>
            <a:t>34%</a:t>
          </a:fld>
          <a:endParaRPr lang="en-ID" sz="2800" kern="1200">
            <a:solidFill>
              <a:srgbClr val="70CD53"/>
            </a:solidFill>
          </a:endParaRPr>
        </a:p>
      </xdr:txBody>
    </xdr:sp>
    <xdr:clientData/>
  </xdr:twoCellAnchor>
  <xdr:twoCellAnchor>
    <xdr:from>
      <xdr:col>17</xdr:col>
      <xdr:colOff>120131</xdr:colOff>
      <xdr:row>3</xdr:row>
      <xdr:rowOff>14135</xdr:rowOff>
    </xdr:from>
    <xdr:to>
      <xdr:col>19</xdr:col>
      <xdr:colOff>475307</xdr:colOff>
      <xdr:row>5</xdr:row>
      <xdr:rowOff>133420</xdr:rowOff>
    </xdr:to>
    <xdr:sp macro="" textlink="calculation!$F$7">
      <xdr:nvSpPr>
        <xdr:cNvPr id="20" name="TextBox 19">
          <a:extLst>
            <a:ext uri="{FF2B5EF4-FFF2-40B4-BE49-F238E27FC236}">
              <a16:creationId xmlns:a16="http://schemas.microsoft.com/office/drawing/2014/main" id="{B8929807-4011-0DA4-0529-50ADAB7C3BB2}"/>
            </a:ext>
          </a:extLst>
        </xdr:cNvPr>
        <xdr:cNvSpPr txBox="1"/>
      </xdr:nvSpPr>
      <xdr:spPr>
        <a:xfrm>
          <a:off x="11942448" y="557343"/>
          <a:ext cx="1826364" cy="481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7153446-8582-4166-B349-F56ED65E3DD3}" type="TxLink">
            <a:rPr lang="en-US" sz="1200" b="0" i="0" u="none" strike="noStrike" kern="1200">
              <a:solidFill>
                <a:srgbClr val="000000"/>
              </a:solidFill>
              <a:latin typeface="Calibri"/>
              <a:ea typeface="Calibri"/>
              <a:cs typeface="Calibri"/>
            </a:rPr>
            <a:pPr algn="l"/>
            <a:t>Sentiment Poisitive Rate Overall</a:t>
          </a:fld>
          <a:endParaRPr lang="en-ID" sz="1200" kern="1200"/>
        </a:p>
      </xdr:txBody>
    </xdr:sp>
    <xdr:clientData/>
  </xdr:twoCellAnchor>
  <xdr:twoCellAnchor>
    <xdr:from>
      <xdr:col>20</xdr:col>
      <xdr:colOff>42690</xdr:colOff>
      <xdr:row>2</xdr:row>
      <xdr:rowOff>169478</xdr:rowOff>
    </xdr:from>
    <xdr:to>
      <xdr:col>23</xdr:col>
      <xdr:colOff>384533</xdr:colOff>
      <xdr:row>7</xdr:row>
      <xdr:rowOff>135048</xdr:rowOff>
    </xdr:to>
    <xdr:sp macro="" textlink="">
      <xdr:nvSpPr>
        <xdr:cNvPr id="21" name="Rectangle: Rounded Corners 20">
          <a:extLst>
            <a:ext uri="{FF2B5EF4-FFF2-40B4-BE49-F238E27FC236}">
              <a16:creationId xmlns:a16="http://schemas.microsoft.com/office/drawing/2014/main" id="{77E99CFA-2FCB-4D75-9498-25ECF6F61303}"/>
            </a:ext>
          </a:extLst>
        </xdr:cNvPr>
        <xdr:cNvSpPr/>
      </xdr:nvSpPr>
      <xdr:spPr>
        <a:xfrm>
          <a:off x="14397289" y="533510"/>
          <a:ext cx="2174345" cy="875651"/>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21</xdr:col>
      <xdr:colOff>318882</xdr:colOff>
      <xdr:row>4</xdr:row>
      <xdr:rowOff>124644</xdr:rowOff>
    </xdr:from>
    <xdr:to>
      <xdr:col>22</xdr:col>
      <xdr:colOff>583825</xdr:colOff>
      <xdr:row>6</xdr:row>
      <xdr:rowOff>135220</xdr:rowOff>
    </xdr:to>
    <xdr:sp macro="" textlink="calculation!$H$8">
      <xdr:nvSpPr>
        <xdr:cNvPr id="22" name="TextBox 21">
          <a:extLst>
            <a:ext uri="{FF2B5EF4-FFF2-40B4-BE49-F238E27FC236}">
              <a16:creationId xmlns:a16="http://schemas.microsoft.com/office/drawing/2014/main" id="{0CEF1918-B836-4C74-8490-F80449142716}"/>
            </a:ext>
          </a:extLst>
        </xdr:cNvPr>
        <xdr:cNvSpPr txBox="1"/>
      </xdr:nvSpPr>
      <xdr:spPr>
        <a:xfrm>
          <a:off x="15284315" y="852709"/>
          <a:ext cx="875777" cy="374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F500A89-1043-4A01-A120-C97543F09D75}" type="TxLink">
            <a:rPr lang="en-US" sz="2800" b="0" i="0" u="none" strike="noStrike" kern="1200">
              <a:solidFill>
                <a:srgbClr val="C00000"/>
              </a:solidFill>
              <a:latin typeface="Calibri"/>
              <a:ea typeface="Calibri"/>
              <a:cs typeface="Calibri"/>
            </a:rPr>
            <a:pPr algn="ctr"/>
            <a:t>57%</a:t>
          </a:fld>
          <a:endParaRPr lang="en-ID" sz="2800" kern="1200">
            <a:solidFill>
              <a:srgbClr val="C00000"/>
            </a:solidFill>
          </a:endParaRPr>
        </a:p>
      </xdr:txBody>
    </xdr:sp>
    <xdr:clientData/>
  </xdr:twoCellAnchor>
  <xdr:twoCellAnchor>
    <xdr:from>
      <xdr:col>20</xdr:col>
      <xdr:colOff>125714</xdr:colOff>
      <xdr:row>3</xdr:row>
      <xdr:rowOff>2893</xdr:rowOff>
    </xdr:from>
    <xdr:to>
      <xdr:col>23</xdr:col>
      <xdr:colOff>255578</xdr:colOff>
      <xdr:row>5</xdr:row>
      <xdr:rowOff>122759</xdr:rowOff>
    </xdr:to>
    <xdr:sp macro="" textlink="calculation!$F$8">
      <xdr:nvSpPr>
        <xdr:cNvPr id="23" name="TextBox 22">
          <a:extLst>
            <a:ext uri="{FF2B5EF4-FFF2-40B4-BE49-F238E27FC236}">
              <a16:creationId xmlns:a16="http://schemas.microsoft.com/office/drawing/2014/main" id="{FBB2E277-4D38-47A6-B133-8B190FB9EBF7}"/>
            </a:ext>
          </a:extLst>
        </xdr:cNvPr>
        <xdr:cNvSpPr txBox="1"/>
      </xdr:nvSpPr>
      <xdr:spPr>
        <a:xfrm>
          <a:off x="14480313" y="548942"/>
          <a:ext cx="1962366" cy="483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7CC1507-B4F0-40D3-859D-C14A314063BC}" type="TxLink">
            <a:rPr lang="en-US" sz="1200" b="0" i="0" u="none" strike="noStrike" kern="1200">
              <a:solidFill>
                <a:srgbClr val="000000"/>
              </a:solidFill>
              <a:latin typeface="Calibri"/>
              <a:ea typeface="Calibri"/>
              <a:cs typeface="Calibri"/>
            </a:rPr>
            <a:pPr algn="l"/>
            <a:t>Sentiment Negative Rate Overall</a:t>
          </a:fld>
          <a:endParaRPr lang="en-ID" sz="1400" kern="1200"/>
        </a:p>
      </xdr:txBody>
    </xdr:sp>
    <xdr:clientData/>
  </xdr:twoCellAnchor>
  <xdr:twoCellAnchor>
    <xdr:from>
      <xdr:col>7</xdr:col>
      <xdr:colOff>84667</xdr:colOff>
      <xdr:row>2</xdr:row>
      <xdr:rowOff>98776</xdr:rowOff>
    </xdr:from>
    <xdr:to>
      <xdr:col>16</xdr:col>
      <xdr:colOff>112889</xdr:colOff>
      <xdr:row>8</xdr:row>
      <xdr:rowOff>28222</xdr:rowOff>
    </xdr:to>
    <xdr:sp macro="" textlink="">
      <xdr:nvSpPr>
        <xdr:cNvPr id="26" name="TextBox 25">
          <a:extLst>
            <a:ext uri="{FF2B5EF4-FFF2-40B4-BE49-F238E27FC236}">
              <a16:creationId xmlns:a16="http://schemas.microsoft.com/office/drawing/2014/main" id="{C9BD3709-3BF8-FDD0-25DC-1321CCEB16E2}"/>
            </a:ext>
          </a:extLst>
        </xdr:cNvPr>
        <xdr:cNvSpPr txBox="1"/>
      </xdr:nvSpPr>
      <xdr:spPr>
        <a:xfrm>
          <a:off x="4445000" y="465665"/>
          <a:ext cx="6843889" cy="1030113"/>
        </a:xfrm>
        <a:prstGeom prst="rect">
          <a:avLst/>
        </a:prstGeom>
        <a:solidFill>
          <a:schemeClr val="accent5">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2800" kern="1200"/>
            <a:t>DASHBOARD ASPECT</a:t>
          </a:r>
          <a:r>
            <a:rPr lang="en-ID" sz="2800" kern="1200" baseline="0"/>
            <a:t> BASED SENTIMENT ANALYSIS</a:t>
          </a:r>
          <a:endParaRPr lang="en-ID" sz="2800" kern="1200"/>
        </a:p>
      </xdr:txBody>
    </xdr:sp>
    <xdr:clientData/>
  </xdr:twoCellAnchor>
  <xdr:twoCellAnchor>
    <xdr:from>
      <xdr:col>7</xdr:col>
      <xdr:colOff>201976</xdr:colOff>
      <xdr:row>10</xdr:row>
      <xdr:rowOff>118533</xdr:rowOff>
    </xdr:from>
    <xdr:to>
      <xdr:col>15</xdr:col>
      <xdr:colOff>587567</xdr:colOff>
      <xdr:row>22</xdr:row>
      <xdr:rowOff>108027</xdr:rowOff>
    </xdr:to>
    <xdr:graphicFrame macro="">
      <xdr:nvGraphicFramePr>
        <xdr:cNvPr id="10" name="Chart 9">
          <a:extLst>
            <a:ext uri="{FF2B5EF4-FFF2-40B4-BE49-F238E27FC236}">
              <a16:creationId xmlns:a16="http://schemas.microsoft.com/office/drawing/2014/main" id="{BAEDFBB9-3507-425D-896E-99777BCCA5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20</xdr:col>
          <xdr:colOff>320040</xdr:colOff>
          <xdr:row>10</xdr:row>
          <xdr:rowOff>60960</xdr:rowOff>
        </xdr:from>
        <xdr:to>
          <xdr:col>23</xdr:col>
          <xdr:colOff>464820</xdr:colOff>
          <xdr:row>12</xdr:row>
          <xdr:rowOff>15240</xdr:rowOff>
        </xdr:to>
        <xdr:sp macro="" textlink="">
          <xdr:nvSpPr>
            <xdr:cNvPr id="7397" name="Drop Down 229" hidden="1">
              <a:extLst>
                <a:ext uri="{63B3BB69-23CF-44E3-9099-C40C66FF867C}">
                  <a14:compatExt spid="_x0000_s7397"/>
                </a:ext>
                <a:ext uri="{FF2B5EF4-FFF2-40B4-BE49-F238E27FC236}">
                  <a16:creationId xmlns:a16="http://schemas.microsoft.com/office/drawing/2014/main" id="{00000000-0008-0000-0000-0000E5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693420</xdr:colOff>
          <xdr:row>8</xdr:row>
          <xdr:rowOff>167640</xdr:rowOff>
        </xdr:from>
        <xdr:to>
          <xdr:col>11</xdr:col>
          <xdr:colOff>7620</xdr:colOff>
          <xdr:row>10</xdr:row>
          <xdr:rowOff>22860</xdr:rowOff>
        </xdr:to>
        <xdr:sp macro="" textlink="">
          <xdr:nvSpPr>
            <xdr:cNvPr id="7399" name="Drop Down 231" hidden="1">
              <a:extLst>
                <a:ext uri="{63B3BB69-23CF-44E3-9099-C40C66FF867C}">
                  <a14:compatExt spid="_x0000_s7399"/>
                </a:ext>
                <a:ext uri="{FF2B5EF4-FFF2-40B4-BE49-F238E27FC236}">
                  <a16:creationId xmlns:a16="http://schemas.microsoft.com/office/drawing/2014/main" id="{00000000-0008-0000-0000-0000E7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7</xdr:col>
      <xdr:colOff>177800</xdr:colOff>
      <xdr:row>8</xdr:row>
      <xdr:rowOff>110067</xdr:rowOff>
    </xdr:from>
    <xdr:to>
      <xdr:col>9</xdr:col>
      <xdr:colOff>38456</xdr:colOff>
      <xdr:row>10</xdr:row>
      <xdr:rowOff>42867</xdr:rowOff>
    </xdr:to>
    <xdr:sp macro="" textlink="">
      <xdr:nvSpPr>
        <xdr:cNvPr id="16" name="TextBox 15">
          <a:extLst>
            <a:ext uri="{FF2B5EF4-FFF2-40B4-BE49-F238E27FC236}">
              <a16:creationId xmlns:a16="http://schemas.microsoft.com/office/drawing/2014/main" id="{96A5F040-98D8-41A6-A592-C4AD54557B1F}"/>
            </a:ext>
          </a:extLst>
        </xdr:cNvPr>
        <xdr:cNvSpPr txBox="1"/>
      </xdr:nvSpPr>
      <xdr:spPr>
        <a:xfrm>
          <a:off x="4563533" y="1600200"/>
          <a:ext cx="1443923" cy="305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400" kern="1200">
              <a:solidFill>
                <a:schemeClr val="tx1">
                  <a:lumMod val="65000"/>
                  <a:lumOff val="35000"/>
                </a:schemeClr>
              </a:solidFill>
            </a:rPr>
            <a:t>Select Period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45</xdr:col>
      <xdr:colOff>429595</xdr:colOff>
      <xdr:row>35</xdr:row>
      <xdr:rowOff>85332</xdr:rowOff>
    </xdr:from>
    <xdr:to>
      <xdr:col>60</xdr:col>
      <xdr:colOff>1115391</xdr:colOff>
      <xdr:row>60</xdr:row>
      <xdr:rowOff>154609</xdr:rowOff>
    </xdr:to>
    <xdr:graphicFrame macro="">
      <xdr:nvGraphicFramePr>
        <xdr:cNvPr id="3" name="Chart 2">
          <a:extLst>
            <a:ext uri="{FF2B5EF4-FFF2-40B4-BE49-F238E27FC236}">
              <a16:creationId xmlns:a16="http://schemas.microsoft.com/office/drawing/2014/main" id="{879EC885-F6E5-4164-B347-38CF05C2A7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ha Tegar" refreshedDate="45634.046200810182" createdVersion="8" refreshedVersion="8" minRefreshableVersion="3" recordCount="66" xr:uid="{D535D6A0-6B17-4D12-A7F0-555FC295F50C}">
  <cacheSource type="worksheet">
    <worksheetSource name="TableTrend"/>
  </cacheSource>
  <cacheFields count="13">
    <cacheField name="topic" numFmtId="0">
      <sharedItems count="7">
        <s v="Miscellaneous"/>
        <s v="Experience and Environment"/>
        <s v="Food and Menu Items"/>
        <s v="Service and Staff"/>
        <s v="Condiments"/>
        <s v="Packaging"/>
        <s v="Pricing and Value"/>
      </sharedItems>
    </cacheField>
    <cacheField name="review_time" numFmtId="164">
      <sharedItems containsSemiMixedTypes="0" containsNonDate="0" containsDate="1" containsString="0" minDate="2019-12-06T00:00:00" maxDate="2024-12-04T00:00:00" count="18">
        <d v="2019-12-06T00:00:00"/>
        <d v="2020-12-06T00:00:00"/>
        <d v="2021-12-06T00:00:00"/>
        <d v="2022-12-06T00:00:00"/>
        <d v="2023-12-06T00:00:00"/>
        <d v="2024-01-06T00:00:00"/>
        <d v="2024-02-06T00:00:00"/>
        <d v="2024-03-06T00:00:00"/>
        <d v="2024-04-06T00:00:00"/>
        <d v="2024-05-06T00:00:00"/>
        <d v="2024-06-06T00:00:00"/>
        <d v="2024-07-06T00:00:00"/>
        <d v="2024-08-06T00:00:00"/>
        <d v="2024-09-06T00:00:00"/>
        <d v="2024-10-06T00:00:00"/>
        <d v="2024-11-06T00:00:00"/>
        <d v="2024-12-01T00:00:00"/>
        <d v="2024-12-03T00:00:00"/>
      </sharedItems>
      <fieldGroup par="12"/>
    </cacheField>
    <cacheField name="year" numFmtId="164">
      <sharedItems containsSemiMixedTypes="0" containsNonDate="0" containsDate="1" containsString="0" minDate="2019-01-01T00:00:00" maxDate="2024-01-02T00:00:00"/>
    </cacheField>
    <cacheField name="month" numFmtId="164">
      <sharedItems containsSemiMixedTypes="0" containsNonDate="0" containsDate="1" containsString="0" minDate="2019-12-01T00:00:00" maxDate="2024-12-02T00:00:00"/>
    </cacheField>
    <cacheField name="rating_sum" numFmtId="0">
      <sharedItems containsSemiMixedTypes="0" containsString="0" containsNumber="1" containsInteger="1" minValue="1" maxValue="61"/>
    </cacheField>
    <cacheField name="rating_count" numFmtId="0">
      <sharedItems containsSemiMixedTypes="0" containsString="0" containsNumber="1" containsInteger="1" minValue="1" maxValue="26"/>
    </cacheField>
    <cacheField name="negative" numFmtId="0">
      <sharedItems containsSemiMixedTypes="0" containsString="0" containsNumber="1" containsInteger="1" minValue="0" maxValue="19"/>
    </cacheField>
    <cacheField name="neutral" numFmtId="0">
      <sharedItems containsSemiMixedTypes="0" containsString="0" containsNumber="1" containsInteger="1" minValue="0" maxValue="7"/>
    </cacheField>
    <cacheField name="positive" numFmtId="0">
      <sharedItems containsSemiMixedTypes="0" containsString="0" containsNumber="1" containsInteger="1" minValue="0" maxValue="7"/>
    </cacheField>
    <cacheField name="total" numFmtId="0">
      <sharedItems containsSemiMixedTypes="0" containsString="0" containsNumber="1" containsInteger="1" minValue="1" maxValue="26"/>
    </cacheField>
    <cacheField name="Months (review_time)" numFmtId="0" databaseField="0">
      <fieldGroup base="1">
        <rangePr groupBy="months" startDate="2019-12-06T00:00:00" endDate="2024-12-04T00:00:00"/>
        <groupItems count="14">
          <s v="&lt;06/12/2019"/>
          <s v="Jan"/>
          <s v="Feb"/>
          <s v="Mar"/>
          <s v="Apr"/>
          <s v="May"/>
          <s v="Jun"/>
          <s v="Jul"/>
          <s v="Aug"/>
          <s v="Sep"/>
          <s v="Oct"/>
          <s v="Nov"/>
          <s v="Dec"/>
          <s v="&gt;04/12/2024"/>
        </groupItems>
      </fieldGroup>
    </cacheField>
    <cacheField name="Quarters (review_time)" numFmtId="0" databaseField="0">
      <fieldGroup base="1">
        <rangePr groupBy="quarters" startDate="2019-12-06T00:00:00" endDate="2024-12-04T00:00:00"/>
        <groupItems count="6">
          <s v="&lt;06/12/2019"/>
          <s v="Qtr1"/>
          <s v="Qtr2"/>
          <s v="Qtr3"/>
          <s v="Qtr4"/>
          <s v="&gt;04/12/2024"/>
        </groupItems>
      </fieldGroup>
    </cacheField>
    <cacheField name="Years (review_time)" numFmtId="0" databaseField="0">
      <fieldGroup base="1">
        <rangePr groupBy="years" startDate="2019-12-06T00:00:00" endDate="2024-12-04T00:00:00"/>
        <groupItems count="8">
          <s v="&lt;06/12/2019"/>
          <s v="2019"/>
          <s v="2020"/>
          <s v="2021"/>
          <s v="2022"/>
          <s v="2023"/>
          <s v="2024"/>
          <s v="&gt;04/12/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
  <r>
    <x v="0"/>
    <x v="0"/>
    <d v="2019-01-01T00:00:00"/>
    <d v="2019-12-01T00:00:00"/>
    <n v="5"/>
    <n v="3"/>
    <n v="3"/>
    <n v="0"/>
    <n v="0"/>
    <n v="3"/>
  </r>
  <r>
    <x v="1"/>
    <x v="0"/>
    <d v="2019-01-01T00:00:00"/>
    <d v="2019-12-01T00:00:00"/>
    <n v="4"/>
    <n v="2"/>
    <n v="1"/>
    <n v="0"/>
    <n v="1"/>
    <n v="2"/>
  </r>
  <r>
    <x v="2"/>
    <x v="0"/>
    <d v="2019-01-01T00:00:00"/>
    <d v="2019-12-01T00:00:00"/>
    <n v="3"/>
    <n v="1"/>
    <n v="0"/>
    <n v="0"/>
    <n v="1"/>
    <n v="1"/>
  </r>
  <r>
    <x v="3"/>
    <x v="0"/>
    <d v="2019-01-01T00:00:00"/>
    <d v="2019-12-01T00:00:00"/>
    <n v="1"/>
    <n v="1"/>
    <n v="1"/>
    <n v="0"/>
    <n v="0"/>
    <n v="1"/>
  </r>
  <r>
    <x v="2"/>
    <x v="1"/>
    <d v="2020-01-01T00:00:00"/>
    <d v="2020-12-01T00:00:00"/>
    <n v="3"/>
    <n v="1"/>
    <n v="1"/>
    <n v="0"/>
    <n v="0"/>
    <n v="1"/>
  </r>
  <r>
    <x v="0"/>
    <x v="1"/>
    <d v="2020-01-01T00:00:00"/>
    <d v="2020-12-01T00:00:00"/>
    <n v="2"/>
    <n v="2"/>
    <n v="2"/>
    <n v="0"/>
    <n v="0"/>
    <n v="2"/>
  </r>
  <r>
    <x v="1"/>
    <x v="1"/>
    <d v="2020-01-01T00:00:00"/>
    <d v="2020-12-01T00:00:00"/>
    <n v="1"/>
    <n v="1"/>
    <n v="1"/>
    <n v="0"/>
    <n v="0"/>
    <n v="1"/>
  </r>
  <r>
    <x v="3"/>
    <x v="1"/>
    <d v="2020-01-01T00:00:00"/>
    <d v="2020-12-01T00:00:00"/>
    <n v="4"/>
    <n v="4"/>
    <n v="2"/>
    <n v="0"/>
    <n v="2"/>
    <n v="4"/>
  </r>
  <r>
    <x v="2"/>
    <x v="2"/>
    <d v="2021-01-01T00:00:00"/>
    <d v="2021-12-01T00:00:00"/>
    <n v="12"/>
    <n v="8"/>
    <n v="2"/>
    <n v="0"/>
    <n v="6"/>
    <n v="8"/>
  </r>
  <r>
    <x v="0"/>
    <x v="2"/>
    <d v="2021-01-01T00:00:00"/>
    <d v="2021-12-01T00:00:00"/>
    <n v="10"/>
    <n v="7"/>
    <n v="4"/>
    <n v="0"/>
    <n v="3"/>
    <n v="7"/>
  </r>
  <r>
    <x v="3"/>
    <x v="2"/>
    <d v="2021-01-01T00:00:00"/>
    <d v="2021-12-01T00:00:00"/>
    <n v="11"/>
    <n v="5"/>
    <n v="3"/>
    <n v="0"/>
    <n v="2"/>
    <n v="5"/>
  </r>
  <r>
    <x v="4"/>
    <x v="2"/>
    <d v="2021-01-01T00:00:00"/>
    <d v="2021-12-01T00:00:00"/>
    <n v="1"/>
    <n v="1"/>
    <n v="1"/>
    <n v="0"/>
    <n v="0"/>
    <n v="1"/>
  </r>
  <r>
    <x v="1"/>
    <x v="2"/>
    <d v="2021-01-01T00:00:00"/>
    <d v="2021-12-01T00:00:00"/>
    <n v="4"/>
    <n v="2"/>
    <n v="1"/>
    <n v="1"/>
    <n v="0"/>
    <n v="2"/>
  </r>
  <r>
    <x v="0"/>
    <x v="3"/>
    <d v="2022-01-01T00:00:00"/>
    <d v="2022-12-01T00:00:00"/>
    <n v="20"/>
    <n v="9"/>
    <n v="4"/>
    <n v="2"/>
    <n v="3"/>
    <n v="9"/>
  </r>
  <r>
    <x v="4"/>
    <x v="3"/>
    <d v="2022-01-01T00:00:00"/>
    <d v="2022-12-01T00:00:00"/>
    <n v="3"/>
    <n v="1"/>
    <n v="1"/>
    <n v="0"/>
    <n v="0"/>
    <n v="1"/>
  </r>
  <r>
    <x v="5"/>
    <x v="3"/>
    <d v="2022-01-01T00:00:00"/>
    <d v="2022-12-01T00:00:00"/>
    <n v="5"/>
    <n v="3"/>
    <n v="1"/>
    <n v="2"/>
    <n v="0"/>
    <n v="3"/>
  </r>
  <r>
    <x v="3"/>
    <x v="3"/>
    <d v="2022-01-01T00:00:00"/>
    <d v="2022-12-01T00:00:00"/>
    <n v="12"/>
    <n v="6"/>
    <n v="5"/>
    <n v="0"/>
    <n v="1"/>
    <n v="6"/>
  </r>
  <r>
    <x v="1"/>
    <x v="3"/>
    <d v="2022-01-01T00:00:00"/>
    <d v="2022-12-01T00:00:00"/>
    <n v="7"/>
    <n v="3"/>
    <n v="3"/>
    <n v="0"/>
    <n v="0"/>
    <n v="3"/>
  </r>
  <r>
    <x v="2"/>
    <x v="3"/>
    <d v="2022-01-01T00:00:00"/>
    <d v="2022-12-01T00:00:00"/>
    <n v="11"/>
    <n v="8"/>
    <n v="3"/>
    <n v="1"/>
    <n v="4"/>
    <n v="8"/>
  </r>
  <r>
    <x v="4"/>
    <x v="4"/>
    <d v="2023-01-01T00:00:00"/>
    <d v="2023-12-01T00:00:00"/>
    <n v="10"/>
    <n v="4"/>
    <n v="4"/>
    <n v="0"/>
    <n v="0"/>
    <n v="4"/>
  </r>
  <r>
    <x v="2"/>
    <x v="4"/>
    <d v="2023-01-01T00:00:00"/>
    <d v="2023-12-01T00:00:00"/>
    <n v="53"/>
    <n v="24"/>
    <n v="10"/>
    <n v="7"/>
    <n v="7"/>
    <n v="24"/>
  </r>
  <r>
    <x v="0"/>
    <x v="4"/>
    <d v="2023-01-01T00:00:00"/>
    <d v="2023-12-01T00:00:00"/>
    <n v="58"/>
    <n v="26"/>
    <n v="16"/>
    <n v="5"/>
    <n v="5"/>
    <n v="26"/>
  </r>
  <r>
    <x v="5"/>
    <x v="4"/>
    <d v="2023-01-01T00:00:00"/>
    <d v="2023-12-01T00:00:00"/>
    <n v="2"/>
    <n v="1"/>
    <n v="1"/>
    <n v="0"/>
    <n v="0"/>
    <n v="1"/>
  </r>
  <r>
    <x v="6"/>
    <x v="4"/>
    <d v="2023-01-01T00:00:00"/>
    <d v="2023-12-01T00:00:00"/>
    <n v="14"/>
    <n v="4"/>
    <n v="3"/>
    <n v="0"/>
    <n v="1"/>
    <n v="4"/>
  </r>
  <r>
    <x v="1"/>
    <x v="4"/>
    <d v="2023-01-01T00:00:00"/>
    <d v="2023-12-01T00:00:00"/>
    <n v="3"/>
    <n v="2"/>
    <n v="1"/>
    <n v="1"/>
    <n v="0"/>
    <n v="2"/>
  </r>
  <r>
    <x v="3"/>
    <x v="4"/>
    <d v="2023-01-01T00:00:00"/>
    <d v="2023-12-01T00:00:00"/>
    <n v="61"/>
    <n v="25"/>
    <n v="19"/>
    <n v="0"/>
    <n v="6"/>
    <n v="25"/>
  </r>
  <r>
    <x v="0"/>
    <x v="5"/>
    <d v="2024-01-01T00:00:00"/>
    <d v="2024-01-01T00:00:00"/>
    <n v="2"/>
    <n v="2"/>
    <n v="2"/>
    <n v="0"/>
    <n v="0"/>
    <n v="2"/>
  </r>
  <r>
    <x v="0"/>
    <x v="6"/>
    <d v="2024-01-01T00:00:00"/>
    <d v="2024-02-01T00:00:00"/>
    <n v="2"/>
    <n v="2"/>
    <n v="2"/>
    <n v="0"/>
    <n v="0"/>
    <n v="2"/>
  </r>
  <r>
    <x v="3"/>
    <x v="6"/>
    <d v="2024-01-01T00:00:00"/>
    <d v="2024-02-01T00:00:00"/>
    <n v="3"/>
    <n v="2"/>
    <n v="1"/>
    <n v="0"/>
    <n v="1"/>
    <n v="2"/>
  </r>
  <r>
    <x v="2"/>
    <x v="6"/>
    <d v="2024-01-01T00:00:00"/>
    <d v="2024-02-01T00:00:00"/>
    <n v="3"/>
    <n v="3"/>
    <n v="2"/>
    <n v="1"/>
    <n v="0"/>
    <n v="3"/>
  </r>
  <r>
    <x v="2"/>
    <x v="7"/>
    <d v="2024-01-01T00:00:00"/>
    <d v="2024-03-01T00:00:00"/>
    <n v="3"/>
    <n v="3"/>
    <n v="3"/>
    <n v="0"/>
    <n v="0"/>
    <n v="3"/>
  </r>
  <r>
    <x v="1"/>
    <x v="7"/>
    <d v="2024-01-01T00:00:00"/>
    <d v="2024-03-01T00:00:00"/>
    <n v="6"/>
    <n v="3"/>
    <n v="2"/>
    <n v="1"/>
    <n v="0"/>
    <n v="3"/>
  </r>
  <r>
    <x v="0"/>
    <x v="7"/>
    <d v="2024-01-01T00:00:00"/>
    <d v="2024-03-01T00:00:00"/>
    <n v="11"/>
    <n v="8"/>
    <n v="5"/>
    <n v="3"/>
    <n v="0"/>
    <n v="8"/>
  </r>
  <r>
    <x v="1"/>
    <x v="8"/>
    <d v="2024-01-01T00:00:00"/>
    <d v="2024-04-01T00:00:00"/>
    <n v="1"/>
    <n v="1"/>
    <n v="1"/>
    <n v="0"/>
    <n v="0"/>
    <n v="1"/>
  </r>
  <r>
    <x v="0"/>
    <x v="8"/>
    <d v="2024-01-01T00:00:00"/>
    <d v="2024-04-01T00:00:00"/>
    <n v="1"/>
    <n v="1"/>
    <n v="0"/>
    <n v="0"/>
    <n v="1"/>
    <n v="1"/>
  </r>
  <r>
    <x v="2"/>
    <x v="8"/>
    <d v="2024-01-01T00:00:00"/>
    <d v="2024-04-01T00:00:00"/>
    <n v="1"/>
    <n v="1"/>
    <n v="1"/>
    <n v="0"/>
    <n v="0"/>
    <n v="1"/>
  </r>
  <r>
    <x v="0"/>
    <x v="9"/>
    <d v="2024-01-01T00:00:00"/>
    <d v="2024-05-01T00:00:00"/>
    <n v="27"/>
    <n v="8"/>
    <n v="1"/>
    <n v="1"/>
    <n v="6"/>
    <n v="8"/>
  </r>
  <r>
    <x v="3"/>
    <x v="9"/>
    <d v="2024-01-01T00:00:00"/>
    <d v="2024-05-01T00:00:00"/>
    <n v="9"/>
    <n v="3"/>
    <n v="2"/>
    <n v="0"/>
    <n v="1"/>
    <n v="3"/>
  </r>
  <r>
    <x v="1"/>
    <x v="9"/>
    <d v="2024-01-01T00:00:00"/>
    <d v="2024-05-01T00:00:00"/>
    <n v="12"/>
    <n v="3"/>
    <n v="2"/>
    <n v="0"/>
    <n v="1"/>
    <n v="3"/>
  </r>
  <r>
    <x v="2"/>
    <x v="9"/>
    <d v="2024-01-01T00:00:00"/>
    <d v="2024-05-01T00:00:00"/>
    <n v="8"/>
    <n v="4"/>
    <n v="1"/>
    <n v="1"/>
    <n v="2"/>
    <n v="4"/>
  </r>
  <r>
    <x v="3"/>
    <x v="10"/>
    <d v="2024-01-01T00:00:00"/>
    <d v="2024-06-01T00:00:00"/>
    <n v="3"/>
    <n v="3"/>
    <n v="1"/>
    <n v="0"/>
    <n v="2"/>
    <n v="3"/>
  </r>
  <r>
    <x v="2"/>
    <x v="10"/>
    <d v="2024-01-01T00:00:00"/>
    <d v="2024-06-01T00:00:00"/>
    <n v="10"/>
    <n v="4"/>
    <n v="1"/>
    <n v="2"/>
    <n v="1"/>
    <n v="4"/>
  </r>
  <r>
    <x v="0"/>
    <x v="10"/>
    <d v="2024-01-01T00:00:00"/>
    <d v="2024-06-01T00:00:00"/>
    <n v="7"/>
    <n v="2"/>
    <n v="0"/>
    <n v="1"/>
    <n v="1"/>
    <n v="2"/>
  </r>
  <r>
    <x v="2"/>
    <x v="11"/>
    <d v="2024-01-01T00:00:00"/>
    <d v="2024-07-01T00:00:00"/>
    <n v="7"/>
    <n v="3"/>
    <n v="3"/>
    <n v="0"/>
    <n v="0"/>
    <n v="3"/>
  </r>
  <r>
    <x v="0"/>
    <x v="11"/>
    <d v="2024-01-01T00:00:00"/>
    <d v="2024-07-01T00:00:00"/>
    <n v="3"/>
    <n v="3"/>
    <n v="3"/>
    <n v="0"/>
    <n v="0"/>
    <n v="3"/>
  </r>
  <r>
    <x v="2"/>
    <x v="12"/>
    <d v="2024-01-01T00:00:00"/>
    <d v="2024-08-01T00:00:00"/>
    <n v="2"/>
    <n v="2"/>
    <n v="2"/>
    <n v="0"/>
    <n v="0"/>
    <n v="2"/>
  </r>
  <r>
    <x v="0"/>
    <x v="12"/>
    <d v="2024-01-01T00:00:00"/>
    <d v="2024-08-01T00:00:00"/>
    <n v="3"/>
    <n v="3"/>
    <n v="3"/>
    <n v="0"/>
    <n v="0"/>
    <n v="3"/>
  </r>
  <r>
    <x v="1"/>
    <x v="12"/>
    <d v="2024-01-01T00:00:00"/>
    <d v="2024-08-01T00:00:00"/>
    <n v="4"/>
    <n v="1"/>
    <n v="1"/>
    <n v="0"/>
    <n v="0"/>
    <n v="1"/>
  </r>
  <r>
    <x v="3"/>
    <x v="12"/>
    <d v="2024-01-01T00:00:00"/>
    <d v="2024-08-01T00:00:00"/>
    <n v="5"/>
    <n v="1"/>
    <n v="0"/>
    <n v="0"/>
    <n v="1"/>
    <n v="1"/>
  </r>
  <r>
    <x v="2"/>
    <x v="13"/>
    <d v="2024-01-01T00:00:00"/>
    <d v="2024-09-01T00:00:00"/>
    <n v="14"/>
    <n v="7"/>
    <n v="4"/>
    <n v="0"/>
    <n v="3"/>
    <n v="7"/>
  </r>
  <r>
    <x v="0"/>
    <x v="13"/>
    <d v="2024-01-01T00:00:00"/>
    <d v="2024-09-01T00:00:00"/>
    <n v="2"/>
    <n v="2"/>
    <n v="1"/>
    <n v="0"/>
    <n v="1"/>
    <n v="2"/>
  </r>
  <r>
    <x v="4"/>
    <x v="13"/>
    <d v="2024-01-01T00:00:00"/>
    <d v="2024-09-01T00:00:00"/>
    <n v="1"/>
    <n v="1"/>
    <n v="1"/>
    <n v="0"/>
    <n v="0"/>
    <n v="1"/>
  </r>
  <r>
    <x v="1"/>
    <x v="13"/>
    <d v="2024-01-01T00:00:00"/>
    <d v="2024-09-01T00:00:00"/>
    <n v="1"/>
    <n v="1"/>
    <n v="1"/>
    <n v="0"/>
    <n v="0"/>
    <n v="1"/>
  </r>
  <r>
    <x v="3"/>
    <x v="13"/>
    <d v="2024-01-01T00:00:00"/>
    <d v="2024-09-01T00:00:00"/>
    <n v="17"/>
    <n v="7"/>
    <n v="4"/>
    <n v="0"/>
    <n v="3"/>
    <n v="7"/>
  </r>
  <r>
    <x v="2"/>
    <x v="14"/>
    <d v="2024-01-01T00:00:00"/>
    <d v="2024-10-01T00:00:00"/>
    <n v="5"/>
    <n v="4"/>
    <n v="3"/>
    <n v="1"/>
    <n v="0"/>
    <n v="4"/>
  </r>
  <r>
    <x v="5"/>
    <x v="14"/>
    <d v="2024-01-01T00:00:00"/>
    <d v="2024-10-01T00:00:00"/>
    <n v="1"/>
    <n v="1"/>
    <n v="0"/>
    <n v="1"/>
    <n v="0"/>
    <n v="1"/>
  </r>
  <r>
    <x v="0"/>
    <x v="14"/>
    <d v="2024-01-01T00:00:00"/>
    <d v="2024-10-01T00:00:00"/>
    <n v="5"/>
    <n v="3"/>
    <n v="3"/>
    <n v="0"/>
    <n v="0"/>
    <n v="3"/>
  </r>
  <r>
    <x v="3"/>
    <x v="15"/>
    <d v="2024-01-01T00:00:00"/>
    <d v="2024-11-01T00:00:00"/>
    <n v="13"/>
    <n v="4"/>
    <n v="2"/>
    <n v="0"/>
    <n v="2"/>
    <n v="4"/>
  </r>
  <r>
    <x v="0"/>
    <x v="15"/>
    <d v="2024-01-01T00:00:00"/>
    <d v="2024-11-01T00:00:00"/>
    <n v="5"/>
    <n v="1"/>
    <n v="0"/>
    <n v="0"/>
    <n v="1"/>
    <n v="1"/>
  </r>
  <r>
    <x v="1"/>
    <x v="15"/>
    <d v="2024-01-01T00:00:00"/>
    <d v="2024-11-01T00:00:00"/>
    <n v="2"/>
    <n v="1"/>
    <n v="1"/>
    <n v="0"/>
    <n v="0"/>
    <n v="1"/>
  </r>
  <r>
    <x v="2"/>
    <x v="15"/>
    <d v="2024-01-01T00:00:00"/>
    <d v="2024-11-01T00:00:00"/>
    <n v="20"/>
    <n v="7"/>
    <n v="0"/>
    <n v="5"/>
    <n v="2"/>
    <n v="7"/>
  </r>
  <r>
    <x v="2"/>
    <x v="16"/>
    <d v="2024-01-01T00:00:00"/>
    <d v="2024-12-01T00:00:00"/>
    <n v="8"/>
    <n v="2"/>
    <n v="0"/>
    <n v="0"/>
    <n v="2"/>
    <n v="2"/>
  </r>
  <r>
    <x v="1"/>
    <x v="16"/>
    <d v="2024-01-01T00:00:00"/>
    <d v="2024-12-01T00:00:00"/>
    <n v="4"/>
    <n v="1"/>
    <n v="0"/>
    <n v="0"/>
    <n v="1"/>
    <n v="1"/>
  </r>
  <r>
    <x v="0"/>
    <x v="16"/>
    <d v="2024-01-01T00:00:00"/>
    <d v="2024-12-01T00:00:00"/>
    <n v="1"/>
    <n v="1"/>
    <n v="0"/>
    <n v="1"/>
    <n v="0"/>
    <n v="1"/>
  </r>
  <r>
    <x v="3"/>
    <x v="16"/>
    <d v="2024-01-01T00:00:00"/>
    <d v="2024-12-01T00:00:00"/>
    <n v="4"/>
    <n v="1"/>
    <n v="0"/>
    <n v="0"/>
    <n v="1"/>
    <n v="1"/>
  </r>
  <r>
    <x v="1"/>
    <x v="17"/>
    <d v="2024-01-01T00:00:00"/>
    <d v="2024-12-01T00:00:00"/>
    <n v="2"/>
    <n v="2"/>
    <n v="2"/>
    <n v="0"/>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E81AAA-35FE-4524-B054-48CC1C420B97}" name="pivotTrend" cacheId="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location ref="BI5:BI23" firstHeaderRow="0" firstDataRow="0" firstDataCol="1"/>
  <pivotFields count="13">
    <pivotField showAll="0"/>
    <pivotField axis="axisRow" numFmtId="164" showAll="0">
      <items count="19">
        <item x="0"/>
        <item x="1"/>
        <item x="2"/>
        <item x="3"/>
        <item x="4"/>
        <item x="5"/>
        <item x="6"/>
        <item x="7"/>
        <item x="8"/>
        <item x="9"/>
        <item x="10"/>
        <item x="11"/>
        <item x="12"/>
        <item x="13"/>
        <item x="14"/>
        <item x="15"/>
        <item x="16"/>
        <item x="17"/>
        <item t="default"/>
      </items>
    </pivotField>
    <pivotField numFmtId="164" showAll="0"/>
    <pivotField numFmtId="164"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9">
        <item sd="0" x="0"/>
        <item sd="0" x="1"/>
        <item sd="0" x="2"/>
        <item sd="0" x="3"/>
        <item sd="0" x="4"/>
        <item sd="0" x="5"/>
        <item sd="0" x="6"/>
        <item sd="0" x="7"/>
        <item t="default"/>
      </items>
    </pivotField>
  </pivotFields>
  <rowFields count="1">
    <field x="1"/>
  </rowFields>
  <rowItems count="19">
    <i>
      <x/>
    </i>
    <i>
      <x v="1"/>
    </i>
    <i>
      <x v="2"/>
    </i>
    <i>
      <x v="3"/>
    </i>
    <i>
      <x v="4"/>
    </i>
    <i>
      <x v="5"/>
    </i>
    <i>
      <x v="6"/>
    </i>
    <i>
      <x v="7"/>
    </i>
    <i>
      <x v="8"/>
    </i>
    <i>
      <x v="9"/>
    </i>
    <i>
      <x v="10"/>
    </i>
    <i>
      <x v="11"/>
    </i>
    <i>
      <x v="12"/>
    </i>
    <i>
      <x v="13"/>
    </i>
    <i>
      <x v="14"/>
    </i>
    <i>
      <x v="15"/>
    </i>
    <i>
      <x v="16"/>
    </i>
    <i>
      <x v="17"/>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B568BE-273C-4369-9994-4AA771E7BC1F}" name="PivotTable2"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2">
  <location ref="D4:D22" firstHeaderRow="1" firstDataRow="1" firstDataCol="1"/>
  <pivotFields count="13">
    <pivotField showAll="0">
      <items count="8">
        <item x="4"/>
        <item x="1"/>
        <item x="2"/>
        <item x="0"/>
        <item x="5"/>
        <item x="6"/>
        <item x="3"/>
        <item t="default"/>
      </items>
    </pivotField>
    <pivotField axis="axisRow" numFmtId="164" showAll="0">
      <items count="19">
        <item x="0"/>
        <item x="1"/>
        <item x="2"/>
        <item x="3"/>
        <item x="4"/>
        <item x="5"/>
        <item x="6"/>
        <item x="7"/>
        <item x="8"/>
        <item x="9"/>
        <item x="10"/>
        <item x="11"/>
        <item x="12"/>
        <item x="13"/>
        <item x="14"/>
        <item x="15"/>
        <item x="16"/>
        <item x="17"/>
        <item t="default"/>
      </items>
    </pivotField>
    <pivotField numFmtId="164" showAll="0"/>
    <pivotField numFmtId="164" showAll="0"/>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8">
        <item sd="0" x="0"/>
        <item sd="0" x="1"/>
        <item sd="0" x="2"/>
        <item sd="0" x="3"/>
        <item sd="0" x="4"/>
        <item sd="0" x="5"/>
        <item sd="0" x="6"/>
        <item sd="0" x="7"/>
      </items>
    </pivotField>
  </pivotFields>
  <rowFields count="1">
    <field x="1"/>
  </rowFields>
  <rowItems count="18">
    <i>
      <x/>
    </i>
    <i>
      <x v="1"/>
    </i>
    <i>
      <x v="2"/>
    </i>
    <i>
      <x v="3"/>
    </i>
    <i>
      <x v="4"/>
    </i>
    <i>
      <x v="5"/>
    </i>
    <i>
      <x v="6"/>
    </i>
    <i>
      <x v="7"/>
    </i>
    <i>
      <x v="8"/>
    </i>
    <i>
      <x v="9"/>
    </i>
    <i>
      <x v="10"/>
    </i>
    <i>
      <x v="11"/>
    </i>
    <i>
      <x v="12"/>
    </i>
    <i>
      <x v="13"/>
    </i>
    <i>
      <x v="14"/>
    </i>
    <i>
      <x v="15"/>
    </i>
    <i>
      <x v="16"/>
    </i>
    <i>
      <x v="17"/>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4D8BF5-933E-4477-B11A-EC7160900869}" name="TableCondiments" displayName="TableCondiments" ref="A2:F8" totalsRowShown="0" headerRowDxfId="31" headerRowBorderDxfId="30" tableBorderDxfId="29">
  <autoFilter ref="A2:F8" xr:uid="{134D8BF5-933E-4477-B11A-EC7160900869}"/>
  <tableColumns count="6">
    <tableColumn id="1" xr3:uid="{D5BE08CC-83D6-4858-B55E-919CFAE7AD4A}" name="review_id"/>
    <tableColumn id="2" xr3:uid="{D247B8B1-5D15-4661-9DE3-272D88074C4C}" name="review_time" dataDxfId="28"/>
    <tableColumn id="3" xr3:uid="{2C39C375-8D71-4787-A7DF-EDC07457A4F1}" name="rating"/>
    <tableColumn id="4" xr3:uid="{882DFA09-790F-4598-B511-7E4CD74086D3}" name="review_processed"/>
    <tableColumn id="5" xr3:uid="{A0200C70-1252-4C07-9D4F-EC61F28333A1}" name="aspect_sentiment"/>
    <tableColumn id="6" xr3:uid="{C03F738A-CD9E-4110-AF5C-DE080020A7F9}" name="topic"/>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B58AF8-C01C-4E93-8072-C13D66861A4B}" name="TableExperience" displayName="TableExperience" ref="J2:O21" totalsRowShown="0" headerRowDxfId="27" headerRowBorderDxfId="26" tableBorderDxfId="25">
  <autoFilter ref="J2:O21" xr:uid="{FCB58AF8-C01C-4E93-8072-C13D66861A4B}"/>
  <tableColumns count="6">
    <tableColumn id="1" xr3:uid="{5866F9DA-9196-498A-BE50-2EA448D3196B}" name="review_id"/>
    <tableColumn id="2" xr3:uid="{CD53C4B2-6452-481D-A302-63CDF7DD459E}" name="review_time"/>
    <tableColumn id="3" xr3:uid="{891AE4B0-FF38-4BBA-94C0-9A6DB662E7C1}" name="rating"/>
    <tableColumn id="4" xr3:uid="{BFAC2AB3-64AA-4972-81E1-01AFB87D0E60}" name="review_processed"/>
    <tableColumn id="5" xr3:uid="{F38F5C92-390E-4D52-A6A8-DD550540479C}" name="aspect_sentiment"/>
    <tableColumn id="6" xr3:uid="{60F3B489-CD87-4EE6-8605-65A9232B5153}" name="topic"/>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9C4A2B-E821-405C-9008-6AAB081CC112}" name="TableFood" displayName="TableFood" ref="S2:X62" totalsRowShown="0" headerRowDxfId="24" headerRowBorderDxfId="23" tableBorderDxfId="22">
  <autoFilter ref="S2:X62" xr:uid="{299C4A2B-E821-405C-9008-6AAB081CC112}"/>
  <tableColumns count="6">
    <tableColumn id="1" xr3:uid="{F59A646D-0089-4682-AD45-2AC0179945DD}" name="review_id"/>
    <tableColumn id="2" xr3:uid="{46407334-8766-4A94-86A1-1B0C8695AC9A}" name="review_time"/>
    <tableColumn id="3" xr3:uid="{8FE22B56-3555-4E10-802E-FDAD4BC9A3DE}" name="rating"/>
    <tableColumn id="4" xr3:uid="{B9D9DCEA-F798-4F83-BB5A-58A5D72D08F5}" name="review_processed"/>
    <tableColumn id="5" xr3:uid="{5C150EDA-83FA-4483-84B8-AD4DE7BD6BEF}" name="aspect_sentiment"/>
    <tableColumn id="6" xr3:uid="{B42EC0D3-0174-443C-B21A-FC9B61FDA493}" name="topic"/>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CF3448-C443-418C-9F86-DA6248C106A1}" name="TableMiscellaneous" displayName="TableMiscellaneous" ref="AB2:AG42" totalsRowShown="0" headerRowDxfId="21" headerRowBorderDxfId="20" tableBorderDxfId="19">
  <autoFilter ref="AB2:AG42" xr:uid="{04CF3448-C443-418C-9F86-DA6248C106A1}"/>
  <tableColumns count="6">
    <tableColumn id="1" xr3:uid="{F5F762F5-036D-496E-BEC8-81941C6EC23C}" name="review_id"/>
    <tableColumn id="2" xr3:uid="{EDD7B400-2CBF-465B-BF81-122E052ADA65}" name="review_time"/>
    <tableColumn id="3" xr3:uid="{AE7847F8-E90F-47D0-9887-2B9934C821E7}" name="rating"/>
    <tableColumn id="4" xr3:uid="{72834F0D-7114-4385-BB5B-64105A7D1692}" name="review_processed"/>
    <tableColumn id="5" xr3:uid="{326D968A-727D-49F2-A74B-9FC5CAD5EA0B}" name="aspect_sentiment"/>
    <tableColumn id="6" xr3:uid="{932D2D2C-16D6-4432-9D67-26DA4D1538C8}" name="topic"/>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6C60A84-1254-4329-98DA-5980E8C1D70E}" name="TablePackaging" displayName="TablePackaging" ref="AK2:AP6" totalsRowShown="0" headerRowDxfId="18" headerRowBorderDxfId="17" tableBorderDxfId="16">
  <autoFilter ref="AK2:AP6" xr:uid="{26C60A84-1254-4329-98DA-5980E8C1D70E}"/>
  <tableColumns count="6">
    <tableColumn id="1" xr3:uid="{FAA71A0C-7FA9-428E-89B9-1E39DA605454}" name="review_id"/>
    <tableColumn id="2" xr3:uid="{14E8816C-928D-4E95-94AD-5D29685CFC33}" name="review_time"/>
    <tableColumn id="3" xr3:uid="{BB0669A6-2FEF-4C7D-957C-E6CF407C0113}" name="rating"/>
    <tableColumn id="4" xr3:uid="{910072E4-8F8A-4518-AB6A-CADE2B4373B6}" name="review_processed"/>
    <tableColumn id="5" xr3:uid="{919B3A57-ADE9-400C-B8B4-D7299659D963}" name="aspect_sentiment"/>
    <tableColumn id="6" xr3:uid="{729C7058-90E2-448A-AE5A-220163398D58}" name="topic"/>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1B713A-A5CF-4877-8549-9791E391679A}" name="TablePrice" displayName="TablePrice" ref="AT2:AY5" totalsRowShown="0" headerRowDxfId="15" headerRowBorderDxfId="14" tableBorderDxfId="13">
  <autoFilter ref="AT2:AY5" xr:uid="{141B713A-A5CF-4877-8549-9791E391679A}"/>
  <tableColumns count="6">
    <tableColumn id="1" xr3:uid="{157ACB4E-6A27-432D-8225-D45C9085E90C}" name="review_id"/>
    <tableColumn id="2" xr3:uid="{0E04AA4A-8097-4C69-B0A5-8809A48EC578}" name="review_time"/>
    <tableColumn id="3" xr3:uid="{29DEBDE3-DD91-4B52-B712-67056DE2029F}" name="rating"/>
    <tableColumn id="4" xr3:uid="{80709CAD-02A0-4841-94A0-CF90F3B8E649}" name="review_processed"/>
    <tableColumn id="5" xr3:uid="{CD5E5D6C-9247-43E1-B5E9-09383FB47BEB}" name="aspect_sentiment"/>
    <tableColumn id="6" xr3:uid="{F20FDFD4-877E-41B6-8DF9-91295C290CDC}" name="topic"/>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3C71098-98DF-4768-A6FF-BA1DD143E99F}" name="TableService" displayName="TableService" ref="BC2:BH50" totalsRowShown="0" headerRowDxfId="12" headerRowBorderDxfId="11" tableBorderDxfId="10">
  <autoFilter ref="BC2:BH50" xr:uid="{73C71098-98DF-4768-A6FF-BA1DD143E99F}"/>
  <tableColumns count="6">
    <tableColumn id="1" xr3:uid="{7471045F-649B-437A-9FFE-CE27CDDD0CC4}" name="review_id"/>
    <tableColumn id="2" xr3:uid="{C477E86D-DA33-4F44-866A-85C267F2B3A5}" name="review_time"/>
    <tableColumn id="3" xr3:uid="{982DB23C-14F7-4353-9066-0B582A2954C7}" name="rating"/>
    <tableColumn id="4" xr3:uid="{8EA3A700-CEAD-48E6-8E95-6625FB8C3F63}" name="review_processed"/>
    <tableColumn id="5" xr3:uid="{923100D6-75BB-4E61-BB43-7CC19DA016B3}" name="aspect_sentiment"/>
    <tableColumn id="6" xr3:uid="{18F449C8-A502-4B39-8EB8-78368CE2C7D3}" name="topic"/>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7FE01F9-A364-4311-931E-85843CEB71DF}" name="TableTrend" displayName="TableTrend" ref="A1:J67" totalsRowShown="0" headerRowDxfId="9" headerRowBorderDxfId="8" tableBorderDxfId="7">
  <autoFilter ref="A1:J67" xr:uid="{07FE01F9-A364-4311-931E-85843CEB71DF}"/>
  <tableColumns count="10">
    <tableColumn id="1" xr3:uid="{A01E3EE8-64C2-441F-A788-529973DE1C83}" name="topic"/>
    <tableColumn id="2" xr3:uid="{75BC0C25-9C16-4DF4-BDD4-81551329693A}" name="review_time" dataDxfId="6"/>
    <tableColumn id="3" xr3:uid="{6F62391B-E1EF-4087-910A-55B22214AAEC}" name="year" dataDxfId="5"/>
    <tableColumn id="4" xr3:uid="{4E5FEED7-2B24-4AF9-9C97-E0DAC387C167}" name="month" dataDxfId="4"/>
    <tableColumn id="10" xr3:uid="{3FAC9164-BFC1-481E-921D-C0F06BA6BD96}" name="rating_sum" dataDxfId="3"/>
    <tableColumn id="11" xr3:uid="{2A5A036C-32A2-4A08-A2BC-01A6A44E1C7D}" name="rating_count" dataDxfId="2"/>
    <tableColumn id="12" xr3:uid="{A24E8AB3-D3DD-4723-9008-40462D7823F1}" name="negative"/>
    <tableColumn id="7" xr3:uid="{4F753938-2EA1-425C-9689-BA8373A3ADC2}" name="neutral"/>
    <tableColumn id="5" xr3:uid="{80542E9C-0658-4E4F-8EC6-1A2BAB698E24}" name="positive" dataDxfId="1"/>
    <tableColumn id="6" xr3:uid="{3D10DD58-EDA3-4F90-8B7B-A20FD3B34451}" name="total"/>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F7AB1E2-F3A3-4AC5-9B6D-8CB209A7356A}" name="TableAspect" displayName="TableAspect" ref="A2:G212" totalsRowShown="0">
  <autoFilter ref="A2:G212" xr:uid="{4F7AB1E2-F3A3-4AC5-9B6D-8CB209A7356A}"/>
  <tableColumns count="7">
    <tableColumn id="1" xr3:uid="{F8CDAA91-2D6C-42D5-9A3E-CEF605E1512E}" name="topic"/>
    <tableColumn id="2" xr3:uid="{1FA65CEF-28E9-46D9-9791-07A67A66825D}" name="review_time" dataDxfId="0"/>
    <tableColumn id="3" xr3:uid="{5D71157F-1DFD-4326-8CAA-8532881F04A4}" name="aspect"/>
    <tableColumn id="4" xr3:uid="{8BF31747-FA18-4DD1-9FA4-83110CC1DD48}" name="negative"/>
    <tableColumn id="5" xr3:uid="{1B7102F2-C23D-4E9D-BE59-F205AC03A5D8}" name="neutral"/>
    <tableColumn id="6" xr3:uid="{CBDBF239-2AED-4489-AFA9-586C30CDBDDE}" name="positive"/>
    <tableColumn id="7" xr3:uid="{72E1033D-844F-490F-A945-C784D7B42292}" name="tot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869D5-54EA-41E4-872C-B4DB73B5B75C}">
  <dimension ref="B3:AA57"/>
  <sheetViews>
    <sheetView showGridLines="0" tabSelected="1" zoomScale="52" zoomScaleNormal="63" workbookViewId="0">
      <selection activeCell="AE11" sqref="AE11"/>
    </sheetView>
  </sheetViews>
  <sheetFormatPr defaultRowHeight="14.4" x14ac:dyDescent="0.3"/>
  <cols>
    <col min="6" max="6" width="10.5546875" bestFit="1" customWidth="1"/>
    <col min="9" max="9" width="14.21875" customWidth="1"/>
    <col min="10" max="10" width="11.21875" customWidth="1"/>
    <col min="12" max="12" width="13.5546875" customWidth="1"/>
    <col min="13" max="13" width="16" customWidth="1"/>
    <col min="19" max="19" width="12.5546875" customWidth="1"/>
    <col min="20" max="20" width="15.44140625" customWidth="1"/>
  </cols>
  <sheetData>
    <row r="3" spans="2:27" x14ac:dyDescent="0.3">
      <c r="H3" s="27"/>
      <c r="I3" s="27"/>
      <c r="J3" s="27"/>
      <c r="K3" s="27"/>
      <c r="L3" s="27"/>
      <c r="M3" s="27"/>
      <c r="N3" s="27"/>
      <c r="O3" s="27"/>
      <c r="P3" s="27"/>
      <c r="Q3" s="27"/>
      <c r="R3" s="27"/>
      <c r="S3" s="27"/>
      <c r="T3" s="27"/>
      <c r="U3" s="27"/>
      <c r="V3" s="27"/>
      <c r="W3" s="27"/>
      <c r="X3" s="27"/>
      <c r="Y3" s="27"/>
      <c r="Z3" s="27"/>
      <c r="AA3" s="27"/>
    </row>
    <row r="4" spans="2:27" x14ac:dyDescent="0.3">
      <c r="H4" s="27"/>
      <c r="I4" s="27"/>
      <c r="J4" s="27"/>
      <c r="K4" s="27"/>
      <c r="L4" s="27"/>
      <c r="M4" s="27"/>
      <c r="N4" s="27"/>
      <c r="O4" s="27"/>
      <c r="P4" s="27"/>
      <c r="Q4" s="27"/>
      <c r="R4" s="27"/>
      <c r="S4" s="27"/>
      <c r="T4" s="27"/>
      <c r="U4" s="27"/>
      <c r="V4" s="27"/>
      <c r="W4" s="27"/>
      <c r="X4" s="27"/>
      <c r="Y4" s="27"/>
      <c r="Z4" s="27"/>
      <c r="AA4" s="27"/>
    </row>
    <row r="5" spans="2:27" x14ac:dyDescent="0.3">
      <c r="H5" s="27"/>
      <c r="I5" s="27"/>
      <c r="J5" s="27"/>
      <c r="K5" s="27"/>
      <c r="L5" s="27"/>
      <c r="M5" s="27"/>
      <c r="N5" s="27"/>
      <c r="O5" s="27"/>
      <c r="P5" s="27"/>
      <c r="Q5" s="27"/>
      <c r="R5" s="27"/>
      <c r="S5" s="27"/>
      <c r="T5" s="27"/>
      <c r="U5" s="27"/>
      <c r="V5" s="27"/>
      <c r="W5" s="27"/>
      <c r="X5" s="27"/>
      <c r="Y5" s="27"/>
      <c r="Z5" s="27"/>
      <c r="AA5" s="27"/>
    </row>
    <row r="6" spans="2:27" x14ac:dyDescent="0.3">
      <c r="H6" s="27"/>
      <c r="I6" s="27"/>
      <c r="J6" s="27"/>
      <c r="K6" s="27"/>
      <c r="L6" s="27"/>
      <c r="M6" s="27"/>
      <c r="N6" s="27"/>
      <c r="O6" s="27"/>
      <c r="P6" s="27"/>
      <c r="Q6" s="27"/>
      <c r="R6" s="27"/>
      <c r="S6" s="27"/>
      <c r="T6" s="27"/>
      <c r="U6" s="27"/>
      <c r="V6" s="27"/>
      <c r="W6" s="27"/>
      <c r="X6" s="27"/>
      <c r="Y6" s="27"/>
      <c r="Z6" s="27"/>
      <c r="AA6" s="27"/>
    </row>
    <row r="7" spans="2:27" x14ac:dyDescent="0.3">
      <c r="B7">
        <v>2</v>
      </c>
      <c r="H7" s="27"/>
      <c r="I7" s="27"/>
      <c r="J7" s="27"/>
      <c r="K7" s="27"/>
      <c r="L7" s="27"/>
      <c r="M7" s="27"/>
      <c r="N7" s="27"/>
      <c r="O7" s="27"/>
      <c r="P7" s="27"/>
      <c r="Q7" s="27"/>
      <c r="R7" s="27"/>
      <c r="S7" s="27"/>
      <c r="T7" s="27"/>
      <c r="U7" s="27"/>
      <c r="V7" s="27"/>
      <c r="W7" s="27"/>
      <c r="X7" s="27"/>
      <c r="Y7" s="27"/>
      <c r="Z7" s="27"/>
      <c r="AA7" s="27"/>
    </row>
    <row r="8" spans="2:27" x14ac:dyDescent="0.3">
      <c r="H8" s="27"/>
      <c r="I8" s="27"/>
      <c r="J8" s="27"/>
      <c r="K8" s="27"/>
      <c r="L8" s="27"/>
      <c r="M8" s="27"/>
      <c r="N8" s="27"/>
      <c r="O8" s="27"/>
      <c r="P8" s="27"/>
      <c r="Q8" s="27"/>
      <c r="R8" s="27"/>
      <c r="S8" s="27"/>
      <c r="T8" s="27"/>
      <c r="U8" s="27"/>
      <c r="V8" s="27"/>
      <c r="W8" s="27"/>
      <c r="X8" s="27"/>
      <c r="Y8" s="27"/>
      <c r="Z8" s="27"/>
      <c r="AA8" s="27"/>
    </row>
    <row r="9" spans="2:27" x14ac:dyDescent="0.3">
      <c r="H9" s="27"/>
      <c r="I9" s="27"/>
      <c r="J9" s="27"/>
      <c r="K9" s="27"/>
      <c r="L9" s="27"/>
      <c r="M9" s="27"/>
      <c r="N9" s="27"/>
      <c r="O9" s="27"/>
      <c r="P9" s="27"/>
      <c r="Q9" s="27"/>
      <c r="R9" s="27"/>
      <c r="S9" s="27"/>
      <c r="T9" s="27"/>
      <c r="U9" s="27"/>
      <c r="V9" s="27"/>
      <c r="W9" s="27"/>
      <c r="X9" s="27"/>
      <c r="Y9" s="27"/>
      <c r="Z9" s="27"/>
      <c r="AA9" s="27"/>
    </row>
    <row r="10" spans="2:27" x14ac:dyDescent="0.3">
      <c r="H10" s="27"/>
      <c r="I10" s="27"/>
      <c r="J10" s="27"/>
      <c r="K10" s="27"/>
      <c r="L10" s="27"/>
      <c r="M10" s="27"/>
      <c r="N10" s="27"/>
      <c r="O10" s="27"/>
      <c r="P10" s="27"/>
      <c r="Q10" s="27"/>
      <c r="R10" s="51"/>
      <c r="S10" s="52" t="s">
        <v>211</v>
      </c>
      <c r="T10" s="52" t="s">
        <v>399</v>
      </c>
      <c r="U10" s="27"/>
      <c r="V10" s="27"/>
      <c r="W10" s="27"/>
      <c r="X10" s="27"/>
      <c r="Y10" s="27"/>
      <c r="Z10" s="27"/>
      <c r="AA10" s="27"/>
    </row>
    <row r="11" spans="2:27" x14ac:dyDescent="0.3">
      <c r="H11" s="27"/>
      <c r="I11" s="27"/>
      <c r="J11" s="27"/>
      <c r="K11" s="27"/>
      <c r="L11" s="27"/>
      <c r="M11" s="27"/>
      <c r="N11" s="27"/>
      <c r="O11" s="27"/>
      <c r="P11" s="27"/>
      <c r="Q11" s="27"/>
      <c r="R11" s="51" t="s">
        <v>380</v>
      </c>
      <c r="S11" s="52">
        <v>2019</v>
      </c>
      <c r="T11" s="52">
        <v>2022</v>
      </c>
      <c r="U11" s="27"/>
      <c r="V11" s="27"/>
      <c r="W11" s="27"/>
      <c r="X11" s="27"/>
      <c r="Y11" s="27"/>
      <c r="Z11" s="27"/>
      <c r="AA11" s="27"/>
    </row>
    <row r="12" spans="2:27" x14ac:dyDescent="0.3">
      <c r="H12" s="27"/>
      <c r="I12" s="27"/>
      <c r="J12" s="27"/>
      <c r="K12" s="27"/>
      <c r="L12" s="27"/>
      <c r="M12" s="27"/>
      <c r="N12" s="27"/>
      <c r="O12" s="27"/>
      <c r="P12" s="27"/>
      <c r="Q12" s="27"/>
      <c r="R12" s="51" t="s">
        <v>378</v>
      </c>
      <c r="S12" s="52">
        <v>12</v>
      </c>
      <c r="T12" s="52">
        <v>12</v>
      </c>
      <c r="U12" s="27"/>
      <c r="V12" s="27"/>
      <c r="W12" s="27"/>
      <c r="X12" s="27"/>
      <c r="Y12" s="27"/>
      <c r="Z12" s="27"/>
      <c r="AA12" s="27"/>
    </row>
    <row r="13" spans="2:27" x14ac:dyDescent="0.3">
      <c r="H13" s="27"/>
      <c r="I13" s="27"/>
      <c r="J13" s="27"/>
      <c r="K13" s="27"/>
      <c r="L13" s="27"/>
      <c r="M13" s="27"/>
      <c r="N13" s="27"/>
      <c r="O13" s="27"/>
      <c r="P13" s="27"/>
      <c r="Q13" s="27"/>
      <c r="R13" s="51" t="s">
        <v>398</v>
      </c>
      <c r="S13" s="52">
        <v>1</v>
      </c>
      <c r="T13" s="52">
        <v>12</v>
      </c>
      <c r="U13" s="27"/>
      <c r="V13" s="27"/>
      <c r="W13" s="27"/>
      <c r="X13" s="27"/>
      <c r="Y13" s="27"/>
      <c r="Z13" s="27"/>
      <c r="AA13" s="27"/>
    </row>
    <row r="14" spans="2:27" x14ac:dyDescent="0.3">
      <c r="H14" s="27"/>
      <c r="I14" s="27"/>
      <c r="J14" s="27"/>
      <c r="K14" s="27"/>
      <c r="L14" s="27"/>
      <c r="M14" s="27"/>
      <c r="N14" s="27"/>
      <c r="O14" s="27"/>
      <c r="P14" s="27"/>
      <c r="Q14" s="27"/>
      <c r="R14" s="27"/>
      <c r="S14" s="27"/>
      <c r="T14" s="27"/>
      <c r="U14" s="27"/>
      <c r="V14" s="27"/>
      <c r="W14" s="27"/>
      <c r="X14" s="27"/>
      <c r="Y14" s="27"/>
      <c r="Z14" s="27"/>
      <c r="AA14" s="27"/>
    </row>
    <row r="15" spans="2:27" x14ac:dyDescent="0.3">
      <c r="F15" s="7"/>
      <c r="H15" s="27"/>
      <c r="I15" s="44"/>
      <c r="J15" s="44"/>
      <c r="K15" s="27"/>
      <c r="L15" s="27"/>
      <c r="M15" s="27"/>
      <c r="N15" s="27"/>
      <c r="O15" s="27"/>
      <c r="P15" s="27"/>
      <c r="Q15" s="27"/>
      <c r="R15" s="27"/>
      <c r="S15" s="27"/>
      <c r="T15" s="27"/>
      <c r="U15" s="27"/>
      <c r="V15" s="27"/>
      <c r="W15" s="27"/>
      <c r="X15" s="27"/>
      <c r="Y15" s="27"/>
      <c r="Z15" s="27"/>
      <c r="AA15" s="27"/>
    </row>
    <row r="16" spans="2:27" x14ac:dyDescent="0.3">
      <c r="F16" s="7"/>
      <c r="H16" s="27"/>
      <c r="I16" s="27"/>
      <c r="J16" s="27"/>
      <c r="K16" s="27"/>
      <c r="L16" s="27"/>
      <c r="M16" s="27"/>
      <c r="N16" s="27"/>
      <c r="O16" s="27"/>
      <c r="P16" s="27"/>
      <c r="Q16" s="27"/>
      <c r="R16" s="27"/>
      <c r="S16" s="27"/>
      <c r="T16" s="27"/>
      <c r="U16" s="27"/>
      <c r="V16" s="27"/>
      <c r="W16" s="27"/>
      <c r="X16" s="27"/>
      <c r="Y16" s="27"/>
      <c r="Z16" s="27"/>
      <c r="AA16" s="27"/>
    </row>
    <row r="17" spans="8:27" x14ac:dyDescent="0.3">
      <c r="H17" s="27"/>
      <c r="I17" s="27"/>
      <c r="J17" s="27"/>
      <c r="K17" s="27"/>
      <c r="L17" s="27"/>
      <c r="M17" s="27"/>
      <c r="N17" s="27"/>
      <c r="O17" s="27"/>
      <c r="P17" s="27"/>
      <c r="Q17" s="27"/>
      <c r="R17" s="27"/>
      <c r="S17" s="27"/>
      <c r="T17" s="27"/>
      <c r="U17" s="27"/>
      <c r="V17" s="27"/>
      <c r="W17" s="27"/>
      <c r="X17" s="27"/>
      <c r="Y17" s="27"/>
      <c r="Z17" s="27"/>
      <c r="AA17" s="27"/>
    </row>
    <row r="18" spans="8:27" x14ac:dyDescent="0.3">
      <c r="H18" s="27"/>
      <c r="I18" s="27"/>
      <c r="J18" s="27"/>
      <c r="K18" s="27"/>
      <c r="L18" s="27"/>
      <c r="M18" s="27"/>
      <c r="N18" s="27"/>
      <c r="O18" s="27"/>
      <c r="P18" s="27"/>
      <c r="Q18" s="27"/>
      <c r="R18" s="27"/>
      <c r="S18" s="27"/>
      <c r="T18" s="27"/>
      <c r="U18" s="27"/>
      <c r="V18" s="27"/>
      <c r="W18" s="27"/>
      <c r="X18" s="27"/>
      <c r="Y18" s="27"/>
      <c r="Z18" s="27"/>
      <c r="AA18" s="27"/>
    </row>
    <row r="19" spans="8:27" x14ac:dyDescent="0.3">
      <c r="H19" s="27"/>
      <c r="I19" s="27"/>
      <c r="J19" s="27"/>
      <c r="K19" s="27"/>
      <c r="L19" s="27"/>
      <c r="M19" s="27"/>
      <c r="N19" s="27"/>
      <c r="O19" s="27"/>
      <c r="P19" s="27"/>
      <c r="Q19" s="27"/>
      <c r="R19" s="27"/>
      <c r="S19" s="27"/>
      <c r="T19" s="27"/>
      <c r="U19" s="27"/>
      <c r="V19" s="27"/>
      <c r="W19" s="27"/>
      <c r="X19" s="27"/>
      <c r="Y19" s="27"/>
      <c r="Z19" s="27"/>
      <c r="AA19" s="27"/>
    </row>
    <row r="20" spans="8:27" x14ac:dyDescent="0.3">
      <c r="H20" s="27"/>
      <c r="I20" s="27"/>
      <c r="J20" s="27"/>
      <c r="K20" s="27"/>
      <c r="L20" s="27"/>
      <c r="M20" s="27"/>
      <c r="N20" s="27"/>
      <c r="O20" s="27"/>
      <c r="P20" s="27"/>
      <c r="Q20" s="27"/>
      <c r="R20" s="27"/>
      <c r="S20" s="27"/>
      <c r="T20" s="27"/>
      <c r="U20" s="27"/>
      <c r="V20" s="27"/>
      <c r="W20" s="27"/>
      <c r="X20" s="27"/>
      <c r="Y20" s="27"/>
      <c r="Z20" s="27"/>
      <c r="AA20" s="27"/>
    </row>
    <row r="21" spans="8:27" x14ac:dyDescent="0.3">
      <c r="H21" s="27"/>
      <c r="I21" s="27"/>
      <c r="J21" s="27"/>
      <c r="K21" s="27"/>
      <c r="L21" s="27"/>
      <c r="M21" s="27"/>
      <c r="N21" s="27"/>
      <c r="O21" s="27"/>
      <c r="P21" s="27"/>
      <c r="Q21" s="27"/>
      <c r="R21" s="27"/>
      <c r="S21" s="27"/>
      <c r="T21" s="27"/>
      <c r="U21" s="27"/>
      <c r="V21" s="27"/>
      <c r="W21" s="27"/>
      <c r="X21" s="27"/>
      <c r="Y21" s="27"/>
      <c r="Z21" s="27"/>
      <c r="AA21" s="27"/>
    </row>
    <row r="22" spans="8:27" x14ac:dyDescent="0.3">
      <c r="H22" s="27"/>
      <c r="I22" s="27"/>
      <c r="J22" s="27"/>
      <c r="K22" s="27"/>
      <c r="L22" s="27"/>
      <c r="M22" s="27"/>
      <c r="N22" s="27"/>
      <c r="O22" s="27"/>
      <c r="P22" s="27"/>
      <c r="Q22" s="27"/>
      <c r="R22" s="27"/>
      <c r="S22" s="27"/>
      <c r="T22" s="27"/>
      <c r="U22" s="27"/>
      <c r="V22" s="27"/>
      <c r="W22" s="27"/>
      <c r="X22" s="27"/>
      <c r="Y22" s="27"/>
      <c r="Z22" s="27"/>
      <c r="AA22" s="27"/>
    </row>
    <row r="23" spans="8:27" x14ac:dyDescent="0.3">
      <c r="H23" s="27"/>
      <c r="I23" s="27"/>
      <c r="J23" s="27"/>
      <c r="K23" s="27"/>
      <c r="L23" s="27"/>
      <c r="M23" s="27"/>
      <c r="N23" s="27"/>
      <c r="O23" s="27"/>
      <c r="P23" s="27"/>
      <c r="Q23" s="27"/>
      <c r="R23" s="27"/>
      <c r="S23" s="27"/>
      <c r="T23" s="27"/>
      <c r="U23" s="27"/>
      <c r="V23" s="27"/>
      <c r="W23" s="27"/>
      <c r="X23" s="27"/>
      <c r="Y23" s="27"/>
      <c r="Z23" s="27"/>
      <c r="AA23" s="27"/>
    </row>
    <row r="24" spans="8:27" x14ac:dyDescent="0.3">
      <c r="H24" s="27"/>
      <c r="I24" s="27"/>
      <c r="J24" s="27"/>
      <c r="K24" s="27"/>
      <c r="L24" s="27"/>
      <c r="M24" s="27"/>
      <c r="N24" s="27"/>
      <c r="O24" s="27"/>
      <c r="P24" s="27"/>
      <c r="Q24" s="27"/>
      <c r="R24" s="27"/>
      <c r="S24" s="27"/>
      <c r="T24" s="27"/>
      <c r="U24" s="27"/>
      <c r="V24" s="27"/>
      <c r="W24" s="27"/>
      <c r="X24" s="27"/>
      <c r="Y24" s="27"/>
      <c r="Z24" s="27"/>
      <c r="AA24" s="27"/>
    </row>
    <row r="25" spans="8:27" x14ac:dyDescent="0.3">
      <c r="H25" s="27"/>
      <c r="I25" s="27"/>
      <c r="J25" s="27"/>
      <c r="K25" s="27"/>
      <c r="L25" s="27"/>
      <c r="M25" s="27"/>
      <c r="N25" s="27"/>
      <c r="O25" s="27"/>
      <c r="P25" s="27"/>
      <c r="Q25" s="27"/>
      <c r="R25" s="27"/>
      <c r="S25" s="27"/>
      <c r="T25" s="27"/>
      <c r="U25" s="27"/>
      <c r="V25" s="27"/>
      <c r="W25" s="27"/>
      <c r="X25" s="27"/>
      <c r="Y25" s="27"/>
      <c r="Z25" s="27"/>
      <c r="AA25" s="27"/>
    </row>
    <row r="26" spans="8:27" x14ac:dyDescent="0.3">
      <c r="H26" s="27"/>
      <c r="I26" s="27"/>
      <c r="J26" s="27"/>
      <c r="K26" s="27"/>
      <c r="L26" s="27"/>
      <c r="M26" s="27"/>
      <c r="N26" s="27"/>
      <c r="O26" s="27"/>
      <c r="P26" s="27"/>
      <c r="Q26" s="27"/>
      <c r="R26" s="27"/>
      <c r="S26" s="27"/>
      <c r="T26" s="27"/>
      <c r="U26" s="27"/>
      <c r="V26" s="27"/>
      <c r="W26" s="27"/>
      <c r="X26" s="27"/>
      <c r="Y26" s="27"/>
      <c r="Z26" s="27"/>
      <c r="AA26" s="27"/>
    </row>
    <row r="27" spans="8:27" x14ac:dyDescent="0.3">
      <c r="H27" s="27"/>
      <c r="I27" s="27"/>
      <c r="J27" s="27"/>
      <c r="K27" s="27"/>
      <c r="L27" s="27"/>
      <c r="M27" s="27"/>
      <c r="N27" s="27"/>
      <c r="O27" s="27"/>
      <c r="P27" s="27"/>
      <c r="Q27" s="27"/>
      <c r="R27" s="27"/>
      <c r="S27" s="27"/>
      <c r="T27" s="27"/>
      <c r="U27" s="27"/>
      <c r="V27" s="27"/>
      <c r="W27" s="27"/>
      <c r="X27" s="27"/>
      <c r="Y27" s="27"/>
      <c r="Z27" s="27"/>
      <c r="AA27" s="27"/>
    </row>
    <row r="28" spans="8:27" x14ac:dyDescent="0.3">
      <c r="H28" s="27"/>
      <c r="I28" s="27"/>
      <c r="J28" s="27"/>
      <c r="K28" s="27"/>
      <c r="L28" s="27"/>
      <c r="M28" s="27"/>
      <c r="N28" s="27"/>
      <c r="O28" s="27"/>
      <c r="P28" s="27"/>
      <c r="Q28" s="27"/>
      <c r="R28" s="27"/>
      <c r="S28" s="27"/>
      <c r="T28" s="27"/>
      <c r="U28" s="27"/>
      <c r="V28" s="27"/>
      <c r="W28" s="27"/>
      <c r="X28" s="27"/>
      <c r="Y28" s="27"/>
      <c r="Z28" s="27"/>
      <c r="AA28" s="27"/>
    </row>
    <row r="29" spans="8:27" x14ac:dyDescent="0.3">
      <c r="H29" s="27"/>
      <c r="I29" s="27"/>
      <c r="J29" s="27"/>
      <c r="K29" s="27"/>
      <c r="L29" s="27"/>
      <c r="M29" s="27"/>
      <c r="N29" s="27"/>
      <c r="O29" s="27"/>
      <c r="P29" s="27"/>
      <c r="Q29" s="27"/>
      <c r="R29" s="27"/>
      <c r="S29" s="27"/>
      <c r="T29" s="27"/>
      <c r="U29" s="27"/>
      <c r="V29" s="27"/>
      <c r="W29" s="27"/>
      <c r="X29" s="27"/>
      <c r="Y29" s="27"/>
      <c r="Z29" s="27"/>
      <c r="AA29" s="27"/>
    </row>
    <row r="30" spans="8:27" x14ac:dyDescent="0.3">
      <c r="H30" s="27"/>
      <c r="I30" s="27"/>
      <c r="J30" s="27"/>
      <c r="K30" s="27"/>
      <c r="L30" s="27"/>
      <c r="M30" s="27"/>
      <c r="N30" s="27"/>
      <c r="O30" s="27"/>
      <c r="P30" s="27"/>
      <c r="Q30" s="27"/>
      <c r="R30" s="27"/>
      <c r="S30" s="27"/>
      <c r="T30" s="27"/>
      <c r="U30" s="27"/>
      <c r="V30" s="27"/>
      <c r="W30" s="27"/>
      <c r="X30" s="27"/>
      <c r="Y30" s="27"/>
      <c r="Z30" s="27"/>
      <c r="AA30" s="27"/>
    </row>
    <row r="31" spans="8:27" x14ac:dyDescent="0.3">
      <c r="H31" s="27"/>
      <c r="I31" s="27"/>
      <c r="J31" s="27"/>
      <c r="K31" s="27"/>
      <c r="L31" s="27"/>
      <c r="M31" s="27"/>
      <c r="N31" s="27"/>
      <c r="O31" s="27"/>
      <c r="P31" s="27"/>
      <c r="Q31" s="27"/>
      <c r="R31" s="27"/>
      <c r="S31" s="27"/>
      <c r="T31" s="27"/>
      <c r="U31" s="27"/>
      <c r="V31" s="27"/>
      <c r="W31" s="27"/>
      <c r="X31" s="27"/>
      <c r="Y31" s="27"/>
      <c r="Z31" s="27"/>
      <c r="AA31" s="27"/>
    </row>
    <row r="32" spans="8:27" x14ac:dyDescent="0.3">
      <c r="H32" s="27"/>
      <c r="I32" s="27"/>
      <c r="J32" s="27"/>
      <c r="K32" s="27"/>
      <c r="L32" s="27"/>
      <c r="M32" s="27"/>
      <c r="N32" s="27"/>
      <c r="O32" s="27"/>
      <c r="P32" s="27"/>
      <c r="Q32" s="27"/>
      <c r="R32" s="27"/>
      <c r="S32" s="27"/>
      <c r="T32" s="27"/>
      <c r="U32" s="27"/>
      <c r="V32" s="27"/>
      <c r="W32" s="27"/>
      <c r="X32" s="27"/>
      <c r="Y32" s="27"/>
      <c r="Z32" s="27"/>
      <c r="AA32" s="27"/>
    </row>
    <row r="33" spans="8:27" x14ac:dyDescent="0.3">
      <c r="H33" s="27"/>
      <c r="I33" s="27"/>
      <c r="J33" s="27"/>
      <c r="K33" s="27"/>
      <c r="L33" s="27"/>
      <c r="M33" s="27"/>
      <c r="N33" s="27"/>
      <c r="O33" s="27"/>
      <c r="P33" s="27"/>
      <c r="Q33" s="27"/>
      <c r="R33" s="27"/>
      <c r="S33" s="27"/>
      <c r="T33" s="27"/>
      <c r="U33" s="27"/>
      <c r="V33" s="27"/>
      <c r="W33" s="27"/>
      <c r="X33" s="27"/>
      <c r="Y33" s="27"/>
      <c r="Z33" s="27"/>
      <c r="AA33" s="27"/>
    </row>
    <row r="34" spans="8:27" x14ac:dyDescent="0.3">
      <c r="H34" s="27"/>
      <c r="I34" s="27"/>
      <c r="J34" s="27"/>
      <c r="K34" s="27"/>
      <c r="L34" s="27"/>
      <c r="M34" s="27"/>
      <c r="N34" s="27"/>
      <c r="O34" s="27"/>
      <c r="P34" s="27"/>
      <c r="Q34" s="27"/>
      <c r="R34" s="27"/>
      <c r="S34" s="27"/>
      <c r="T34" s="27"/>
      <c r="U34" s="27"/>
      <c r="V34" s="27"/>
      <c r="W34" s="27"/>
      <c r="X34" s="27"/>
      <c r="Y34" s="27"/>
      <c r="Z34" s="27"/>
      <c r="AA34" s="27"/>
    </row>
    <row r="35" spans="8:27" x14ac:dyDescent="0.3">
      <c r="H35" s="27"/>
      <c r="I35" s="27"/>
      <c r="J35" s="27"/>
      <c r="K35" s="27"/>
      <c r="L35" s="27"/>
      <c r="M35" s="27"/>
      <c r="N35" s="27"/>
      <c r="O35" s="27"/>
      <c r="P35" s="27"/>
      <c r="Q35" s="27"/>
      <c r="R35" s="27"/>
      <c r="S35" s="27"/>
      <c r="T35" s="27"/>
      <c r="U35" s="27"/>
      <c r="V35" s="27"/>
      <c r="W35" s="27"/>
      <c r="X35" s="27"/>
      <c r="Y35" s="27"/>
      <c r="Z35" s="27"/>
      <c r="AA35" s="27"/>
    </row>
    <row r="36" spans="8:27" x14ac:dyDescent="0.3">
      <c r="H36" s="27"/>
      <c r="I36" s="27"/>
      <c r="J36" s="27"/>
      <c r="K36" s="27"/>
      <c r="L36" s="27"/>
      <c r="M36" s="27"/>
      <c r="N36" s="27"/>
      <c r="O36" s="27"/>
      <c r="P36" s="27"/>
      <c r="Q36" s="27"/>
      <c r="R36" s="27"/>
      <c r="S36" s="27"/>
      <c r="T36" s="27"/>
      <c r="U36" s="27"/>
      <c r="V36" s="27"/>
      <c r="W36" s="27"/>
      <c r="X36" s="27"/>
      <c r="Y36" s="27"/>
      <c r="Z36" s="27"/>
      <c r="AA36" s="27"/>
    </row>
    <row r="37" spans="8:27" x14ac:dyDescent="0.3">
      <c r="H37" s="27"/>
      <c r="I37" s="27"/>
      <c r="J37" s="27"/>
      <c r="K37" s="27"/>
      <c r="L37" s="27"/>
      <c r="M37" s="27"/>
      <c r="N37" s="27"/>
      <c r="O37" s="27"/>
      <c r="P37" s="27"/>
      <c r="Q37" s="27"/>
      <c r="R37" s="27"/>
      <c r="S37" s="27"/>
      <c r="T37" s="27"/>
      <c r="U37" s="27"/>
      <c r="V37" s="27"/>
      <c r="W37" s="27"/>
      <c r="X37" s="27"/>
      <c r="Y37" s="27"/>
      <c r="Z37" s="27"/>
      <c r="AA37" s="27"/>
    </row>
    <row r="38" spans="8:27" x14ac:dyDescent="0.3">
      <c r="H38" s="27"/>
      <c r="I38" s="27"/>
      <c r="J38" s="27"/>
      <c r="K38" s="27"/>
      <c r="L38" s="27"/>
      <c r="M38" s="27"/>
      <c r="N38" s="27"/>
      <c r="O38" s="27"/>
      <c r="P38" s="27"/>
      <c r="Q38" s="27"/>
      <c r="R38" s="27"/>
      <c r="S38" s="27"/>
      <c r="T38" s="27"/>
      <c r="U38" s="27"/>
      <c r="V38" s="27"/>
      <c r="W38" s="27"/>
      <c r="X38" s="27"/>
      <c r="Y38" s="27"/>
      <c r="Z38" s="27"/>
      <c r="AA38" s="27"/>
    </row>
    <row r="39" spans="8:27" x14ac:dyDescent="0.3">
      <c r="H39" s="27"/>
      <c r="I39" s="27"/>
      <c r="J39" s="27"/>
      <c r="K39" s="27"/>
      <c r="L39" s="27"/>
      <c r="M39" s="27"/>
      <c r="N39" s="27"/>
      <c r="O39" s="27"/>
      <c r="P39" s="27"/>
      <c r="Q39" s="27"/>
      <c r="R39" s="27"/>
      <c r="S39" s="27"/>
      <c r="T39" s="27"/>
      <c r="U39" s="27"/>
      <c r="V39" s="27"/>
      <c r="W39" s="27"/>
      <c r="X39" s="27"/>
      <c r="Y39" s="27"/>
      <c r="Z39" s="27"/>
      <c r="AA39" s="27"/>
    </row>
    <row r="40" spans="8:27" x14ac:dyDescent="0.3">
      <c r="H40" s="27"/>
      <c r="I40" s="27"/>
      <c r="J40" s="27"/>
      <c r="K40" s="27"/>
      <c r="L40" s="27"/>
      <c r="M40" s="27"/>
      <c r="N40" s="27"/>
      <c r="O40" s="27"/>
      <c r="P40" s="27"/>
      <c r="Q40" s="27"/>
      <c r="R40" s="27"/>
      <c r="S40" s="27"/>
      <c r="T40" s="27"/>
      <c r="U40" s="27"/>
      <c r="V40" s="27"/>
      <c r="W40" s="27"/>
      <c r="X40" s="27"/>
      <c r="Y40" s="27"/>
      <c r="Z40" s="27"/>
      <c r="AA40" s="27"/>
    </row>
    <row r="41" spans="8:27" x14ac:dyDescent="0.3">
      <c r="H41" s="27"/>
      <c r="I41" s="27"/>
      <c r="J41" s="27"/>
      <c r="K41" s="27"/>
      <c r="L41" s="27"/>
      <c r="M41" s="27"/>
      <c r="N41" s="27"/>
      <c r="O41" s="27"/>
      <c r="P41" s="27"/>
      <c r="Q41" s="27"/>
      <c r="R41" s="27"/>
      <c r="S41" s="27"/>
      <c r="T41" s="27"/>
      <c r="U41" s="27"/>
      <c r="V41" s="27"/>
      <c r="W41" s="27"/>
      <c r="X41" s="27"/>
      <c r="Y41" s="27"/>
      <c r="Z41" s="27"/>
      <c r="AA41" s="27"/>
    </row>
    <row r="42" spans="8:27" x14ac:dyDescent="0.3">
      <c r="H42" s="27"/>
      <c r="I42" s="27"/>
      <c r="J42" s="27"/>
      <c r="K42" s="27"/>
      <c r="L42" s="27"/>
      <c r="M42" s="27"/>
      <c r="N42" s="27"/>
      <c r="O42" s="27"/>
      <c r="P42" s="27"/>
      <c r="Q42" s="27"/>
      <c r="R42" s="27"/>
      <c r="S42" s="27"/>
      <c r="T42" s="27"/>
      <c r="U42" s="27"/>
      <c r="V42" s="27"/>
      <c r="W42" s="27"/>
      <c r="X42" s="27"/>
      <c r="Y42" s="27"/>
      <c r="Z42" s="27"/>
      <c r="AA42" s="27"/>
    </row>
    <row r="43" spans="8:27" x14ac:dyDescent="0.3">
      <c r="H43" s="27"/>
      <c r="I43" s="27"/>
      <c r="J43" s="27"/>
      <c r="K43" s="27"/>
      <c r="L43" s="27"/>
      <c r="M43" s="27"/>
      <c r="N43" s="27"/>
      <c r="O43" s="27"/>
      <c r="P43" s="27"/>
      <c r="Q43" s="27"/>
      <c r="R43" s="27"/>
      <c r="S43" s="27"/>
      <c r="T43" s="27"/>
      <c r="U43" s="27"/>
      <c r="V43" s="27"/>
      <c r="W43" s="27"/>
      <c r="X43" s="27"/>
      <c r="Y43" s="27"/>
      <c r="Z43" s="27"/>
      <c r="AA43" s="27"/>
    </row>
    <row r="44" spans="8:27" x14ac:dyDescent="0.3">
      <c r="H44" s="27"/>
      <c r="I44" s="27"/>
      <c r="J44" s="27"/>
      <c r="K44" s="27"/>
      <c r="L44" s="27"/>
      <c r="M44" s="27"/>
      <c r="N44" s="27"/>
      <c r="O44" s="27"/>
      <c r="P44" s="27"/>
      <c r="Q44" s="27"/>
      <c r="R44" s="27"/>
      <c r="S44" s="27"/>
      <c r="T44" s="27"/>
      <c r="U44" s="27"/>
      <c r="V44" s="27"/>
      <c r="W44" s="27"/>
      <c r="X44" s="27"/>
      <c r="Y44" s="27"/>
      <c r="Z44" s="27"/>
      <c r="AA44" s="27"/>
    </row>
    <row r="45" spans="8:27" x14ac:dyDescent="0.3">
      <c r="H45" s="27"/>
      <c r="I45" s="27"/>
      <c r="J45" s="27"/>
      <c r="K45" s="27"/>
      <c r="L45" s="27"/>
      <c r="M45" s="27"/>
      <c r="N45" s="27"/>
      <c r="O45" s="27"/>
      <c r="P45" s="27"/>
      <c r="Q45" s="27"/>
      <c r="R45" s="27"/>
      <c r="S45" s="27"/>
      <c r="T45" s="27"/>
      <c r="U45" s="27"/>
      <c r="V45" s="27"/>
      <c r="W45" s="27"/>
      <c r="X45" s="27"/>
      <c r="Y45" s="27"/>
      <c r="Z45" s="27"/>
      <c r="AA45" s="27"/>
    </row>
    <row r="46" spans="8:27" x14ac:dyDescent="0.3">
      <c r="H46" s="27"/>
      <c r="I46" s="27"/>
      <c r="J46" s="27"/>
      <c r="K46" s="27"/>
      <c r="L46" s="27"/>
      <c r="M46" s="27"/>
      <c r="N46" s="27"/>
      <c r="O46" s="27"/>
      <c r="P46" s="27"/>
      <c r="Q46" s="27"/>
      <c r="R46" s="27"/>
      <c r="S46" s="27"/>
      <c r="T46" s="27"/>
      <c r="U46" s="27"/>
      <c r="V46" s="27"/>
      <c r="W46" s="27"/>
      <c r="X46" s="27"/>
      <c r="Y46" s="27"/>
      <c r="Z46" s="27"/>
      <c r="AA46" s="27"/>
    </row>
    <row r="47" spans="8:27" x14ac:dyDescent="0.3">
      <c r="H47" s="27"/>
      <c r="I47" s="27"/>
      <c r="J47" s="27"/>
      <c r="K47" s="27"/>
      <c r="L47" s="27"/>
      <c r="M47" s="27"/>
      <c r="N47" s="27"/>
      <c r="O47" s="27"/>
      <c r="P47" s="27"/>
      <c r="Q47" s="27"/>
      <c r="R47" s="27"/>
      <c r="S47" s="27"/>
      <c r="T47" s="27"/>
      <c r="U47" s="27"/>
      <c r="V47" s="27"/>
      <c r="W47" s="27"/>
      <c r="X47" s="27"/>
      <c r="Y47" s="27"/>
      <c r="Z47" s="27"/>
      <c r="AA47" s="27"/>
    </row>
    <row r="48" spans="8:27" x14ac:dyDescent="0.3">
      <c r="H48" s="27"/>
      <c r="I48" s="27"/>
      <c r="J48" s="27"/>
      <c r="K48" s="27"/>
      <c r="L48" s="27"/>
      <c r="M48" s="27"/>
      <c r="N48" s="27"/>
      <c r="O48" s="27"/>
      <c r="P48" s="27"/>
      <c r="Q48" s="27"/>
      <c r="R48" s="27"/>
      <c r="S48" s="27"/>
      <c r="T48" s="27"/>
      <c r="U48" s="27"/>
      <c r="V48" s="27"/>
      <c r="W48" s="27"/>
      <c r="X48" s="27"/>
      <c r="Y48" s="27"/>
      <c r="Z48" s="27"/>
      <c r="AA48" s="27"/>
    </row>
    <row r="49" spans="8:27" x14ac:dyDescent="0.3">
      <c r="H49" s="27"/>
      <c r="I49" s="27"/>
      <c r="J49" s="27"/>
      <c r="K49" s="27"/>
      <c r="L49" s="27"/>
      <c r="M49" s="27"/>
      <c r="N49" s="27"/>
      <c r="O49" s="27"/>
      <c r="P49" s="27"/>
      <c r="Q49" s="27"/>
      <c r="R49" s="27"/>
      <c r="S49" s="27"/>
      <c r="T49" s="27"/>
      <c r="U49" s="27"/>
      <c r="V49" s="27"/>
      <c r="W49" s="27"/>
      <c r="X49" s="27"/>
      <c r="Y49" s="27"/>
      <c r="Z49" s="27"/>
      <c r="AA49" s="27"/>
    </row>
    <row r="50" spans="8:27" x14ac:dyDescent="0.3">
      <c r="H50" s="27"/>
      <c r="I50" s="27"/>
      <c r="J50" s="27"/>
      <c r="K50" s="27"/>
      <c r="L50" s="27"/>
      <c r="M50" s="27"/>
      <c r="N50" s="27"/>
      <c r="O50" s="27"/>
      <c r="P50" s="27"/>
      <c r="Q50" s="27"/>
      <c r="R50" s="27"/>
      <c r="S50" s="27"/>
      <c r="T50" s="27"/>
      <c r="U50" s="27"/>
      <c r="V50" s="27"/>
      <c r="W50" s="27"/>
      <c r="X50" s="27"/>
      <c r="Y50" s="27"/>
      <c r="Z50" s="27"/>
      <c r="AA50" s="27"/>
    </row>
    <row r="51" spans="8:27" x14ac:dyDescent="0.3">
      <c r="H51" s="27"/>
      <c r="I51" s="27"/>
      <c r="J51" s="27"/>
      <c r="K51" s="27"/>
      <c r="L51" s="27"/>
      <c r="M51" s="27"/>
      <c r="N51" s="27"/>
      <c r="O51" s="27"/>
      <c r="P51" s="27"/>
      <c r="Q51" s="27"/>
      <c r="R51" s="27"/>
      <c r="S51" s="27"/>
      <c r="T51" s="27"/>
      <c r="U51" s="27"/>
      <c r="V51" s="27"/>
      <c r="W51" s="27"/>
      <c r="X51" s="27"/>
      <c r="Y51" s="27"/>
      <c r="Z51" s="27"/>
      <c r="AA51" s="27"/>
    </row>
    <row r="52" spans="8:27" x14ac:dyDescent="0.3">
      <c r="H52" s="27"/>
      <c r="I52" s="27"/>
      <c r="J52" s="27"/>
      <c r="K52" s="27"/>
      <c r="L52" s="27"/>
      <c r="M52" s="27"/>
      <c r="N52" s="27"/>
      <c r="O52" s="27"/>
      <c r="P52" s="27"/>
      <c r="Q52" s="27"/>
      <c r="R52" s="27"/>
      <c r="S52" s="27"/>
      <c r="T52" s="27"/>
      <c r="U52" s="27"/>
      <c r="V52" s="27"/>
      <c r="W52" s="27"/>
      <c r="X52" s="27"/>
      <c r="Y52" s="27"/>
      <c r="Z52" s="27"/>
      <c r="AA52" s="27"/>
    </row>
    <row r="53" spans="8:27" x14ac:dyDescent="0.3">
      <c r="H53" s="27"/>
      <c r="I53" s="27"/>
      <c r="J53" s="27"/>
      <c r="K53" s="27"/>
      <c r="L53" s="27"/>
      <c r="M53" s="27"/>
      <c r="N53" s="27"/>
      <c r="O53" s="27"/>
      <c r="P53" s="27"/>
      <c r="Q53" s="27"/>
      <c r="R53" s="27"/>
      <c r="S53" s="27"/>
      <c r="T53" s="27"/>
      <c r="U53" s="27"/>
      <c r="V53" s="27"/>
      <c r="W53" s="27"/>
      <c r="X53" s="27"/>
      <c r="Y53" s="27"/>
      <c r="Z53" s="27"/>
      <c r="AA53" s="27"/>
    </row>
    <row r="54" spans="8:27" x14ac:dyDescent="0.3">
      <c r="H54" s="27"/>
      <c r="I54" s="27"/>
      <c r="J54" s="27"/>
      <c r="K54" s="27"/>
      <c r="L54" s="27"/>
      <c r="M54" s="27"/>
      <c r="N54" s="27"/>
      <c r="O54" s="27"/>
      <c r="P54" s="27"/>
      <c r="Q54" s="27"/>
      <c r="R54" s="27"/>
      <c r="S54" s="27"/>
      <c r="T54" s="27"/>
      <c r="U54" s="27"/>
      <c r="V54" s="27"/>
      <c r="W54" s="27"/>
      <c r="X54" s="27"/>
      <c r="Y54" s="27"/>
      <c r="Z54" s="27"/>
      <c r="AA54" s="27"/>
    </row>
    <row r="55" spans="8:27" x14ac:dyDescent="0.3">
      <c r="H55" s="27"/>
      <c r="I55" s="27"/>
      <c r="J55" s="27"/>
      <c r="K55" s="27"/>
      <c r="L55" s="27"/>
      <c r="M55" s="27"/>
      <c r="N55" s="27"/>
      <c r="O55" s="27"/>
      <c r="P55" s="27"/>
      <c r="Q55" s="27"/>
      <c r="R55" s="27"/>
      <c r="S55" s="27"/>
      <c r="T55" s="27"/>
      <c r="U55" s="27"/>
      <c r="V55" s="27"/>
      <c r="W55" s="27"/>
      <c r="X55" s="27"/>
      <c r="Y55" s="27"/>
      <c r="Z55" s="27"/>
      <c r="AA55" s="27"/>
    </row>
    <row r="56" spans="8:27" x14ac:dyDescent="0.3">
      <c r="H56" s="27"/>
      <c r="I56" s="27"/>
      <c r="J56" s="27"/>
      <c r="K56" s="27"/>
      <c r="L56" s="27"/>
      <c r="M56" s="27"/>
      <c r="N56" s="27"/>
      <c r="O56" s="27"/>
      <c r="P56" s="27"/>
      <c r="Q56" s="27"/>
      <c r="R56" s="27"/>
      <c r="S56" s="27"/>
      <c r="T56" s="27"/>
      <c r="U56" s="27"/>
      <c r="V56" s="27"/>
      <c r="W56" s="27"/>
      <c r="X56" s="27"/>
      <c r="Y56" s="27"/>
      <c r="Z56" s="27"/>
      <c r="AA56" s="27"/>
    </row>
    <row r="57" spans="8:27" x14ac:dyDescent="0.3">
      <c r="H57" s="27"/>
      <c r="I57" s="27"/>
      <c r="J57" s="27"/>
      <c r="K57" s="27"/>
      <c r="L57" s="27"/>
      <c r="M57" s="27"/>
      <c r="N57" s="27"/>
      <c r="O57" s="27"/>
      <c r="P57" s="27"/>
      <c r="Q57" s="27"/>
      <c r="R57" s="27"/>
      <c r="S57" s="27"/>
      <c r="T57" s="27"/>
      <c r="U57" s="27"/>
      <c r="V57" s="27"/>
      <c r="W57" s="27"/>
      <c r="X57" s="27"/>
      <c r="Y57" s="27"/>
      <c r="Z57" s="27"/>
      <c r="AA57" s="27"/>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Scroll Bar 1">
              <controlPr defaultSize="0" autoPict="0">
                <anchor moveWithCells="1">
                  <from>
                    <xdr:col>7</xdr:col>
                    <xdr:colOff>373380</xdr:colOff>
                    <xdr:row>24</xdr:row>
                    <xdr:rowOff>167640</xdr:rowOff>
                  </from>
                  <to>
                    <xdr:col>8</xdr:col>
                    <xdr:colOff>15240</xdr:colOff>
                    <xdr:row>35</xdr:row>
                    <xdr:rowOff>91440</xdr:rowOff>
                  </to>
                </anchor>
              </controlPr>
            </control>
          </mc:Choice>
        </mc:AlternateContent>
        <mc:AlternateContent xmlns:mc="http://schemas.openxmlformats.org/markup-compatibility/2006">
          <mc:Choice Requires="x14">
            <control shapeId="7173" r:id="rId4" name="Drop Down 5">
              <controlPr defaultSize="0" autoLine="0" autoPict="0">
                <anchor moveWithCells="1">
                  <from>
                    <xdr:col>19</xdr:col>
                    <xdr:colOff>129540</xdr:colOff>
                    <xdr:row>16</xdr:row>
                    <xdr:rowOff>129540</xdr:rowOff>
                  </from>
                  <to>
                    <xdr:col>20</xdr:col>
                    <xdr:colOff>548640</xdr:colOff>
                    <xdr:row>18</xdr:row>
                    <xdr:rowOff>0</xdr:rowOff>
                  </to>
                </anchor>
              </controlPr>
            </control>
          </mc:Choice>
        </mc:AlternateContent>
        <mc:AlternateContent xmlns:mc="http://schemas.openxmlformats.org/markup-compatibility/2006">
          <mc:Choice Requires="x14">
            <control shapeId="7174" r:id="rId5" name="Drop Down 6">
              <controlPr defaultSize="0" autoLine="0" autoPict="0">
                <anchor moveWithCells="1">
                  <from>
                    <xdr:col>16</xdr:col>
                    <xdr:colOff>350520</xdr:colOff>
                    <xdr:row>16</xdr:row>
                    <xdr:rowOff>129540</xdr:rowOff>
                  </from>
                  <to>
                    <xdr:col>18</xdr:col>
                    <xdr:colOff>670560</xdr:colOff>
                    <xdr:row>17</xdr:row>
                    <xdr:rowOff>175260</xdr:rowOff>
                  </to>
                </anchor>
              </controlPr>
            </control>
          </mc:Choice>
        </mc:AlternateContent>
        <mc:AlternateContent xmlns:mc="http://schemas.openxmlformats.org/markup-compatibility/2006">
          <mc:Choice Requires="x14">
            <control shapeId="7397" r:id="rId6" name="Drop Down 229">
              <controlPr defaultSize="0" autoLine="0" autoPict="0">
                <anchor moveWithCells="1">
                  <from>
                    <xdr:col>20</xdr:col>
                    <xdr:colOff>320040</xdr:colOff>
                    <xdr:row>10</xdr:row>
                    <xdr:rowOff>60960</xdr:rowOff>
                  </from>
                  <to>
                    <xdr:col>23</xdr:col>
                    <xdr:colOff>464820</xdr:colOff>
                    <xdr:row>12</xdr:row>
                    <xdr:rowOff>15240</xdr:rowOff>
                  </to>
                </anchor>
              </controlPr>
            </control>
          </mc:Choice>
        </mc:AlternateContent>
        <mc:AlternateContent xmlns:mc="http://schemas.openxmlformats.org/markup-compatibility/2006">
          <mc:Choice Requires="x14">
            <control shapeId="7399" r:id="rId7" name="Drop Down 231">
              <controlPr defaultSize="0" autoLine="0" autoPict="0">
                <anchor moveWithCells="1">
                  <from>
                    <xdr:col>8</xdr:col>
                    <xdr:colOff>693420</xdr:colOff>
                    <xdr:row>8</xdr:row>
                    <xdr:rowOff>167640</xdr:rowOff>
                  </from>
                  <to>
                    <xdr:col>11</xdr:col>
                    <xdr:colOff>7620</xdr:colOff>
                    <xdr:row>10</xdr:row>
                    <xdr:rowOff>22860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disablePrompts="1" count="1">
        <x14:dataValidation type="whole" operator="greaterThanOrEqual" allowBlank="1" showInputMessage="1" showErrorMessage="1" xr:uid="{5C16CC30-80F3-4085-AD38-E7F1F06FD846}">
          <x14:formula1>
            <xm:f>YEAR(calculation!D5)</xm:f>
          </x14:formula1>
          <xm:sqref>S11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3C29F-0750-4B7E-B7DA-A720646DC409}">
  <dimension ref="A3:D39"/>
  <sheetViews>
    <sheetView workbookViewId="0">
      <selection activeCell="A4" sqref="A4:A14"/>
    </sheetView>
  </sheetViews>
  <sheetFormatPr defaultRowHeight="14.4" x14ac:dyDescent="0.3"/>
  <cols>
    <col min="1" max="1" width="37.88671875" customWidth="1"/>
    <col min="2" max="2" width="40.6640625" customWidth="1"/>
    <col min="3" max="3" width="36.88671875" customWidth="1"/>
    <col min="4" max="4" width="34" customWidth="1"/>
  </cols>
  <sheetData>
    <row r="3" spans="1:4" x14ac:dyDescent="0.3">
      <c r="A3" s="41"/>
      <c r="B3" s="38" t="s">
        <v>405</v>
      </c>
      <c r="C3" s="38" t="s">
        <v>406</v>
      </c>
      <c r="D3" s="38" t="s">
        <v>404</v>
      </c>
    </row>
    <row r="4" spans="1:4" ht="72" customHeight="1" x14ac:dyDescent="0.3">
      <c r="A4" s="54" t="s">
        <v>59</v>
      </c>
      <c r="B4" s="41" t="s">
        <v>407</v>
      </c>
      <c r="C4" s="42" t="s">
        <v>417</v>
      </c>
      <c r="D4" s="41" t="s">
        <v>424</v>
      </c>
    </row>
    <row r="5" spans="1:4" ht="57.6" customHeight="1" x14ac:dyDescent="0.3">
      <c r="A5" s="56"/>
      <c r="B5" s="41" t="s">
        <v>408</v>
      </c>
      <c r="C5" s="42" t="s">
        <v>418</v>
      </c>
      <c r="D5" s="41" t="s">
        <v>425</v>
      </c>
    </row>
    <row r="6" spans="1:4" ht="86.4" customHeight="1" x14ac:dyDescent="0.3">
      <c r="A6" s="56"/>
      <c r="B6" s="41" t="s">
        <v>409</v>
      </c>
      <c r="C6" s="42" t="s">
        <v>419</v>
      </c>
      <c r="D6" s="41" t="s">
        <v>426</v>
      </c>
    </row>
    <row r="7" spans="1:4" ht="72" customHeight="1" x14ac:dyDescent="0.3">
      <c r="A7" s="56"/>
      <c r="B7" s="41" t="s">
        <v>410</v>
      </c>
      <c r="C7" s="42" t="s">
        <v>420</v>
      </c>
      <c r="D7" s="41" t="s">
        <v>427</v>
      </c>
    </row>
    <row r="8" spans="1:4" ht="72" customHeight="1" x14ac:dyDescent="0.3">
      <c r="A8" s="56"/>
      <c r="B8" s="41" t="s">
        <v>411</v>
      </c>
      <c r="C8" s="42" t="s">
        <v>421</v>
      </c>
      <c r="D8" s="41"/>
    </row>
    <row r="9" spans="1:4" ht="72" customHeight="1" x14ac:dyDescent="0.3">
      <c r="A9" s="56"/>
      <c r="B9" s="41" t="s">
        <v>412</v>
      </c>
      <c r="C9" s="42" t="s">
        <v>422</v>
      </c>
      <c r="D9" s="41"/>
    </row>
    <row r="10" spans="1:4" ht="72" customHeight="1" x14ac:dyDescent="0.3">
      <c r="A10" s="56"/>
      <c r="B10" s="41" t="s">
        <v>413</v>
      </c>
      <c r="C10" s="42" t="s">
        <v>423</v>
      </c>
      <c r="D10" s="41"/>
    </row>
    <row r="11" spans="1:4" ht="72" customHeight="1" x14ac:dyDescent="0.3">
      <c r="A11" s="56"/>
      <c r="B11" s="41" t="s">
        <v>414</v>
      </c>
      <c r="C11" s="41"/>
      <c r="D11" s="41"/>
    </row>
    <row r="12" spans="1:4" ht="86.4" customHeight="1" x14ac:dyDescent="0.3">
      <c r="A12" s="56"/>
      <c r="B12" s="41" t="s">
        <v>415</v>
      </c>
      <c r="C12" s="41"/>
      <c r="D12" s="41"/>
    </row>
    <row r="13" spans="1:4" ht="72" customHeight="1" x14ac:dyDescent="0.3">
      <c r="A13" s="56"/>
      <c r="B13" s="41" t="s">
        <v>416</v>
      </c>
      <c r="C13" s="41"/>
      <c r="D13" s="41"/>
    </row>
    <row r="14" spans="1:4" ht="57.6" customHeight="1" x14ac:dyDescent="0.3">
      <c r="A14" s="55"/>
      <c r="B14" s="41"/>
      <c r="C14" s="41"/>
      <c r="D14" s="41"/>
    </row>
    <row r="15" spans="1:4" ht="57.6" x14ac:dyDescent="0.3">
      <c r="A15" s="54" t="s">
        <v>9</v>
      </c>
      <c r="B15" s="41"/>
      <c r="C15" s="41" t="s">
        <v>428</v>
      </c>
      <c r="D15" s="41" t="s">
        <v>431</v>
      </c>
    </row>
    <row r="16" spans="1:4" ht="43.2" x14ac:dyDescent="0.3">
      <c r="A16" s="56"/>
      <c r="B16" s="41"/>
      <c r="C16" s="41" t="s">
        <v>429</v>
      </c>
      <c r="D16" s="41"/>
    </row>
    <row r="17" spans="1:4" ht="43.2" x14ac:dyDescent="0.3">
      <c r="A17" s="55"/>
      <c r="B17" s="41"/>
      <c r="C17" s="41" t="s">
        <v>430</v>
      </c>
      <c r="D17" s="41"/>
    </row>
    <row r="18" spans="1:4" ht="57.6" x14ac:dyDescent="0.3">
      <c r="A18" s="54" t="s">
        <v>175</v>
      </c>
      <c r="B18" s="41" t="s">
        <v>432</v>
      </c>
      <c r="C18" s="41" t="s">
        <v>437</v>
      </c>
      <c r="D18" s="41" t="s">
        <v>446</v>
      </c>
    </row>
    <row r="19" spans="1:4" ht="43.2" x14ac:dyDescent="0.3">
      <c r="A19" s="56"/>
      <c r="B19" s="41" t="s">
        <v>433</v>
      </c>
      <c r="C19" s="41" t="s">
        <v>438</v>
      </c>
      <c r="D19" s="41" t="s">
        <v>447</v>
      </c>
    </row>
    <row r="20" spans="1:4" ht="43.2" x14ac:dyDescent="0.3">
      <c r="A20" s="56"/>
      <c r="B20" s="41" t="s">
        <v>434</v>
      </c>
      <c r="C20" s="41" t="s">
        <v>439</v>
      </c>
      <c r="D20" s="41" t="s">
        <v>448</v>
      </c>
    </row>
    <row r="21" spans="1:4" ht="28.8" x14ac:dyDescent="0.3">
      <c r="A21" s="56"/>
      <c r="B21" s="41" t="s">
        <v>435</v>
      </c>
      <c r="C21" s="41" t="s">
        <v>440</v>
      </c>
      <c r="D21" s="41"/>
    </row>
    <row r="22" spans="1:4" ht="57.6" x14ac:dyDescent="0.3">
      <c r="A22" s="56"/>
      <c r="B22" s="41" t="s">
        <v>436</v>
      </c>
      <c r="C22" s="41" t="s">
        <v>441</v>
      </c>
      <c r="D22" s="41"/>
    </row>
    <row r="23" spans="1:4" ht="28.8" x14ac:dyDescent="0.3">
      <c r="A23" s="56"/>
      <c r="B23" s="41"/>
      <c r="C23" s="41" t="s">
        <v>442</v>
      </c>
      <c r="D23" s="41"/>
    </row>
    <row r="24" spans="1:4" ht="28.8" x14ac:dyDescent="0.3">
      <c r="A24" s="56"/>
      <c r="B24" s="41"/>
      <c r="C24" s="41" t="s">
        <v>443</v>
      </c>
      <c r="D24" s="41"/>
    </row>
    <row r="25" spans="1:4" ht="28.8" x14ac:dyDescent="0.3">
      <c r="A25" s="56"/>
      <c r="B25" s="41"/>
      <c r="C25" s="41" t="s">
        <v>444</v>
      </c>
      <c r="D25" s="41"/>
    </row>
    <row r="26" spans="1:4" ht="43.2" x14ac:dyDescent="0.3">
      <c r="A26" s="55"/>
      <c r="B26" s="41"/>
      <c r="C26" s="41" t="s">
        <v>445</v>
      </c>
      <c r="D26" s="41"/>
    </row>
    <row r="27" spans="1:4" ht="43.2" x14ac:dyDescent="0.3">
      <c r="A27" s="54" t="s">
        <v>22</v>
      </c>
      <c r="B27" s="41" t="s">
        <v>449</v>
      </c>
      <c r="C27" s="41" t="s">
        <v>453</v>
      </c>
      <c r="D27" s="41" t="s">
        <v>461</v>
      </c>
    </row>
    <row r="28" spans="1:4" ht="43.2" x14ac:dyDescent="0.3">
      <c r="A28" s="57"/>
      <c r="B28" s="41" t="s">
        <v>450</v>
      </c>
      <c r="C28" s="41" t="s">
        <v>454</v>
      </c>
      <c r="D28" s="41" t="s">
        <v>462</v>
      </c>
    </row>
    <row r="29" spans="1:4" ht="43.2" x14ac:dyDescent="0.3">
      <c r="A29" s="57"/>
      <c r="B29" s="41" t="s">
        <v>451</v>
      </c>
      <c r="C29" s="41" t="s">
        <v>455</v>
      </c>
      <c r="D29" s="41"/>
    </row>
    <row r="30" spans="1:4" ht="28.8" x14ac:dyDescent="0.3">
      <c r="A30" s="57"/>
      <c r="B30" s="41" t="s">
        <v>452</v>
      </c>
      <c r="C30" s="41" t="s">
        <v>456</v>
      </c>
      <c r="D30" s="41"/>
    </row>
    <row r="31" spans="1:4" ht="43.2" x14ac:dyDescent="0.3">
      <c r="A31" s="57"/>
      <c r="B31" s="41"/>
      <c r="C31" s="41" t="s">
        <v>457</v>
      </c>
      <c r="D31" s="41"/>
    </row>
    <row r="32" spans="1:4" ht="43.2" x14ac:dyDescent="0.3">
      <c r="A32" s="57"/>
      <c r="B32" s="41"/>
      <c r="C32" s="41" t="s">
        <v>458</v>
      </c>
      <c r="D32" s="41"/>
    </row>
    <row r="33" spans="1:4" ht="28.8" x14ac:dyDescent="0.3">
      <c r="A33" s="57"/>
      <c r="B33" s="41"/>
      <c r="C33" s="41" t="s">
        <v>459</v>
      </c>
      <c r="D33" s="41"/>
    </row>
    <row r="34" spans="1:4" ht="28.8" x14ac:dyDescent="0.3">
      <c r="A34" s="58"/>
      <c r="B34" s="41"/>
      <c r="C34" s="41" t="s">
        <v>460</v>
      </c>
      <c r="D34" s="41"/>
    </row>
    <row r="35" spans="1:4" ht="43.2" x14ac:dyDescent="0.3">
      <c r="A35" s="59" t="s">
        <v>173</v>
      </c>
      <c r="B35" s="43"/>
      <c r="C35" s="41" t="s">
        <v>463</v>
      </c>
      <c r="D35" s="43"/>
    </row>
    <row r="36" spans="1:4" ht="43.2" x14ac:dyDescent="0.3">
      <c r="A36" s="60"/>
      <c r="B36" s="43"/>
      <c r="C36" s="41" t="s">
        <v>464</v>
      </c>
      <c r="D36" s="43"/>
    </row>
    <row r="37" spans="1:4" ht="57.6" x14ac:dyDescent="0.3">
      <c r="A37" s="61"/>
      <c r="B37" s="43"/>
      <c r="C37" s="41" t="s">
        <v>465</v>
      </c>
      <c r="D37" s="43"/>
    </row>
    <row r="38" spans="1:4" ht="43.2" x14ac:dyDescent="0.3">
      <c r="A38" s="54" t="s">
        <v>174</v>
      </c>
      <c r="B38" s="41" t="s">
        <v>468</v>
      </c>
      <c r="C38" s="41" t="s">
        <v>466</v>
      </c>
      <c r="D38" s="41"/>
    </row>
    <row r="39" spans="1:4" ht="43.2" x14ac:dyDescent="0.3">
      <c r="A39" s="55"/>
      <c r="B39" s="41"/>
      <c r="C39" s="41" t="s">
        <v>467</v>
      </c>
      <c r="D39" s="41"/>
    </row>
  </sheetData>
  <mergeCells count="6">
    <mergeCell ref="A38:A39"/>
    <mergeCell ref="A4:A14"/>
    <mergeCell ref="A15:A17"/>
    <mergeCell ref="A18:A26"/>
    <mergeCell ref="A27:A34"/>
    <mergeCell ref="A35:A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D9B70-0FD5-4C1D-9CA7-52F1BD9F4186}">
  <dimension ref="A5:E13"/>
  <sheetViews>
    <sheetView showGridLines="0" workbookViewId="0">
      <selection activeCell="A6" sqref="A6"/>
    </sheetView>
  </sheetViews>
  <sheetFormatPr defaultRowHeight="14.4" x14ac:dyDescent="0.3"/>
  <cols>
    <col min="1" max="1" width="13.6640625" style="37" customWidth="1"/>
    <col min="2" max="2" width="10.5546875" style="45" bestFit="1" customWidth="1"/>
    <col min="3" max="3" width="8.88671875" style="37"/>
    <col min="4" max="4" width="53.77734375" style="36" customWidth="1"/>
    <col min="5" max="5" width="49.44140625" style="36" customWidth="1"/>
  </cols>
  <sheetData>
    <row r="5" spans="1:5" x14ac:dyDescent="0.3">
      <c r="A5" s="46" t="s">
        <v>471</v>
      </c>
      <c r="B5" s="47" t="s">
        <v>0</v>
      </c>
      <c r="C5" s="46" t="s">
        <v>208</v>
      </c>
      <c r="D5" s="46" t="s">
        <v>209</v>
      </c>
      <c r="E5" s="46" t="s">
        <v>210</v>
      </c>
    </row>
    <row r="6" spans="1:5" ht="72" x14ac:dyDescent="0.3">
      <c r="A6" s="37" cm="1">
        <f t="array" ref="A6:E13">CHOOSE(calculation!$D$3,FetchingFood,FetchingCondiment,FetchingPackage,FetchingPricing,FetchingExperience,FetchingService,FetchingMiscellaneous)</f>
        <v>84</v>
      </c>
      <c r="B6" s="45">
        <v>43803</v>
      </c>
      <c r="C6" s="37">
        <v>3</v>
      </c>
      <c r="D6" s="36" t="str">
        <v>Driving through the drive thru can get pretty backed up during normal meal periods, so often it is better to go inside. Make sure you go close to regular meal periods for fresher food; the ones under the heat lamp for a while are fresher. The store is always clean.</v>
      </c>
      <c r="E6" s="36" t="str">
        <v>● heat lamp: positive
● food: positive
● meal periods: negative</v>
      </c>
    </row>
    <row r="7" spans="1:5" ht="57.6" x14ac:dyDescent="0.3">
      <c r="A7" s="37">
        <v>74</v>
      </c>
      <c r="B7" s="45">
        <v>43803</v>
      </c>
      <c r="C7" s="37">
        <v>1</v>
      </c>
      <c r="D7" s="36" t="str">
        <v>All I got for my trouble was a "sorry for the wait," not even an explanation. It's not the first time I've had bad service. I once pulled up and they just said we're not serving right now, even though it was smack dab in the middle of the day hours.</v>
      </c>
      <c r="E7" s="36" t="str">
        <v>● serving: negative
● service: negative
● wait: negative</v>
      </c>
    </row>
    <row r="8" spans="1:5" ht="72" x14ac:dyDescent="0.3">
      <c r="A8" s="37">
        <v>96</v>
      </c>
      <c r="B8" s="45">
        <v>44169</v>
      </c>
      <c r="C8" s="37">
        <v>1</v>
      </c>
      <c r="D8" s="36" t="str">
        <v>Every single time I go they f up my order! Then give attitude when they need to correct their mistakes. The staff is horrible. Corporate needs to send all their staff over to a week of training at chic-fil-A college to learn about work ethic, time management, teamwork and basic manors.</v>
      </c>
      <c r="E8" s="36" t="str">
        <v>● time management: negative
● work: negative
● staff: negative
● manors: negative
● teamwork: negative</v>
      </c>
    </row>
    <row r="9" spans="1:5" ht="57.6" x14ac:dyDescent="0.3">
      <c r="A9" s="37">
        <v>98</v>
      </c>
      <c r="B9" s="45">
        <v>44534</v>
      </c>
      <c r="C9" s="37">
        <v>1</v>
      </c>
      <c r="D9" s="36" t="str">
        <v>I don't usually review places, but this location has ridiculously rude service and consistently gets the orders wrong. Even when not busy, they are rude. If I were rude, I wouldn't be able to enjoy the experience at this location. It's ridiculous.</v>
      </c>
      <c r="E9" s="36" t="str">
        <v>● orders: negative
● service: negative</v>
      </c>
    </row>
    <row r="10" spans="1:5" ht="57.6" x14ac:dyDescent="0.3">
      <c r="A10" s="37">
        <v>86</v>
      </c>
      <c r="B10" s="45">
        <v>44534</v>
      </c>
      <c r="C10" s="37">
        <v>3</v>
      </c>
      <c r="D10" s="36" t="str">
        <v>When I order during the day, I have no issues. They are listed as a 24 hour location, so they show up on Uber Eats late at night. Anytime I order after midnight, they will accept my order and then sit around for an hour before canceling it.</v>
      </c>
      <c r="E10" s="36" t="str">
        <v>● uber: neutral</v>
      </c>
    </row>
    <row r="11" spans="1:5" ht="72" x14ac:dyDescent="0.3">
      <c r="A11" s="37">
        <v>82</v>
      </c>
      <c r="B11" s="45">
        <v>44899</v>
      </c>
      <c r="C11" s="37">
        <v>4</v>
      </c>
      <c r="D11" s="36" t="str">
        <v>The staff are very kind and the food is usually prepared in a timely manner. The drive thru line can sometimes be an inconvenience as it can get very long and at times block entrances. For this reason, it's one of my preferred places to go to eat.</v>
      </c>
      <c r="E11" s="36" t="str">
        <v>● places: positive
● entrances: negative
● drive thru line: negative
● food: positive
● staff: positive</v>
      </c>
    </row>
    <row r="12" spans="1:5" ht="57.6" x14ac:dyDescent="0.3">
      <c r="A12" s="37">
        <v>31</v>
      </c>
      <c r="B12" s="45">
        <v>44899</v>
      </c>
      <c r="C12" s="37">
        <v>1</v>
      </c>
      <c r="D12" s="36" t="str">
        <v>A 20 minute wait in the drive through for a room temperature caramel mocha that was less than 2/3 full. This was exactly what I ordered! It's what I had ordered, and it's exactly where I ordered it to be. It's perfect!</v>
      </c>
      <c r="E12" s="36" t="str">
        <v>● wait: negative
● caramel mocha: positive</v>
      </c>
    </row>
    <row r="13" spans="1:5" ht="72" x14ac:dyDescent="0.3">
      <c r="A13" s="37">
        <v>63</v>
      </c>
      <c r="B13" s="45">
        <v>44899</v>
      </c>
      <c r="C13" s="37">
        <v>2</v>
      </c>
      <c r="D13" s="36" t="str">
        <v>The young lady at the drive thru kept having issues getting the order correctly. After I received the fries, the manager dismissed me with a condescending disappointment in the situation. I didn't realize my receipt was in the bag to confirm my order; found it and gave it to the second lady.</v>
      </c>
      <c r="E13" s="36" t="str">
        <v>● manager: negative
● fries: neutral
● order: negative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39B9C-9DD7-4F96-905C-67E79B81D654}">
  <dimension ref="B2:CE98"/>
  <sheetViews>
    <sheetView zoomScale="87" zoomScaleNormal="61" workbookViewId="0">
      <selection activeCell="H2" sqref="H2"/>
    </sheetView>
  </sheetViews>
  <sheetFormatPr defaultRowHeight="14.4" x14ac:dyDescent="0.3"/>
  <cols>
    <col min="2" max="2" width="9" bestFit="1" customWidth="1"/>
    <col min="3" max="3" width="18.44140625" customWidth="1"/>
    <col min="4" max="4" width="14.109375" customWidth="1"/>
    <col min="5" max="5" width="10.88671875" bestFit="1" customWidth="1"/>
    <col min="6" max="7" width="10.88671875" customWidth="1"/>
    <col min="8" max="8" width="11" bestFit="1" customWidth="1"/>
    <col min="9" max="9" width="10.88671875" bestFit="1" customWidth="1"/>
    <col min="10" max="10" width="9" bestFit="1" customWidth="1"/>
    <col min="11" max="11" width="11.5546875" bestFit="1" customWidth="1"/>
    <col min="12" max="12" width="14.21875" customWidth="1"/>
    <col min="14" max="14" width="38.77734375" customWidth="1"/>
    <col min="15" max="15" width="18.44140625" customWidth="1"/>
    <col min="24" max="24" width="13.5546875" customWidth="1"/>
    <col min="25" max="25" width="13" style="7" customWidth="1"/>
    <col min="26" max="28" width="17.88671875" customWidth="1"/>
    <col min="29" max="29" width="9" bestFit="1" customWidth="1"/>
    <col min="30" max="30" width="29.33203125" customWidth="1"/>
    <col min="31" max="31" width="27.88671875" customWidth="1"/>
    <col min="32" max="32" width="13.6640625" bestFit="1" customWidth="1"/>
    <col min="34" max="34" width="13.6640625" bestFit="1" customWidth="1"/>
    <col min="35" max="35" width="17.44140625" bestFit="1" customWidth="1"/>
    <col min="36" max="36" width="16.6640625" bestFit="1" customWidth="1"/>
    <col min="37" max="37" width="18.33203125" bestFit="1" customWidth="1"/>
    <col min="38" max="38" width="12.21875" customWidth="1"/>
    <col min="39" max="39" width="9" bestFit="1" customWidth="1"/>
    <col min="41" max="41" width="9" bestFit="1" customWidth="1"/>
    <col min="43" max="43" width="20.6640625" customWidth="1"/>
    <col min="44" max="44" width="10.44140625" bestFit="1" customWidth="1"/>
    <col min="45" max="47" width="9" bestFit="1" customWidth="1"/>
    <col min="48" max="48" width="11.21875" customWidth="1"/>
    <col min="50" max="50" width="24.21875" customWidth="1"/>
    <col min="51" max="53" width="9" bestFit="1" customWidth="1"/>
    <col min="55" max="58" width="9" bestFit="1" customWidth="1"/>
    <col min="61" max="61" width="16.5546875" customWidth="1"/>
    <col min="64" max="64" width="11" bestFit="1" customWidth="1"/>
    <col min="65" max="65" width="11.6640625" bestFit="1" customWidth="1"/>
    <col min="66" max="69" width="9.109375" bestFit="1" customWidth="1"/>
    <col min="70" max="70" width="14.5546875" customWidth="1"/>
    <col min="71" max="71" width="13" customWidth="1"/>
    <col min="72" max="72" width="13.88671875" customWidth="1"/>
    <col min="73" max="73" width="14.77734375" customWidth="1"/>
    <col min="74" max="74" width="20" customWidth="1"/>
    <col min="75" max="75" width="13" customWidth="1"/>
    <col min="76" max="77" width="9" bestFit="1" customWidth="1"/>
    <col min="79" max="79" width="11.77734375" bestFit="1" customWidth="1"/>
    <col min="80" max="80" width="11.21875" bestFit="1" customWidth="1"/>
    <col min="81" max="84" width="9" bestFit="1" customWidth="1"/>
    <col min="85" max="85" width="10.5546875" bestFit="1" customWidth="1"/>
    <col min="86" max="86" width="11.33203125" customWidth="1"/>
    <col min="87" max="91" width="9" bestFit="1" customWidth="1"/>
    <col min="92" max="92" width="9" customWidth="1"/>
    <col min="94" max="94" width="11.88671875" customWidth="1"/>
    <col min="95" max="95" width="22.88671875" customWidth="1"/>
    <col min="96" max="97" width="16.77734375" customWidth="1"/>
    <col min="98" max="98" width="20" customWidth="1"/>
    <col min="99" max="99" width="29.6640625" customWidth="1"/>
    <col min="100" max="100" width="18.33203125" customWidth="1"/>
    <col min="101" max="101" width="21.6640625" customWidth="1"/>
  </cols>
  <sheetData>
    <row r="2" spans="2:83" x14ac:dyDescent="0.3">
      <c r="B2" s="1" t="s">
        <v>203</v>
      </c>
      <c r="C2" s="2"/>
      <c r="D2" s="2"/>
    </row>
    <row r="3" spans="2:83" x14ac:dyDescent="0.3">
      <c r="C3" t="s">
        <v>204</v>
      </c>
      <c r="D3">
        <v>5</v>
      </c>
      <c r="Y3"/>
      <c r="BI3" s="1" t="s">
        <v>375</v>
      </c>
      <c r="BJ3" s="2"/>
      <c r="BK3" s="2"/>
      <c r="BL3" s="2"/>
      <c r="BM3" s="2"/>
      <c r="BN3" s="2"/>
      <c r="BO3" s="2"/>
      <c r="BP3" s="2"/>
      <c r="BQ3" s="2"/>
      <c r="BR3" s="2"/>
    </row>
    <row r="4" spans="2:83" x14ac:dyDescent="0.3">
      <c r="C4" t="s">
        <v>361</v>
      </c>
      <c r="D4">
        <v>1</v>
      </c>
      <c r="I4" s="7"/>
      <c r="X4" s="7"/>
      <c r="Y4"/>
      <c r="BK4" t="s">
        <v>383</v>
      </c>
    </row>
    <row r="5" spans="2:83" x14ac:dyDescent="0.3">
      <c r="C5" t="s">
        <v>396</v>
      </c>
      <c r="D5" s="7">
        <f>IF(MONTH(MIN(TableTrend[review_time]))=1,DATE(YEAR(MIN(TableTrend[review_time])),1,1),DATE(YEAR(MIN(TableTrend[review_time])),MONTH(MIN(TableTrend[review_time]))-1,1))</f>
        <v>43770</v>
      </c>
      <c r="E5" s="7"/>
      <c r="F5" s="7"/>
      <c r="G5" s="7"/>
      <c r="Z5" s="7"/>
      <c r="AA5" s="7"/>
      <c r="AW5" s="17" t="s">
        <v>363</v>
      </c>
      <c r="AX5" s="17" t="s">
        <v>364</v>
      </c>
      <c r="BI5" s="25">
        <v>43805</v>
      </c>
      <c r="BK5" t="s">
        <v>400</v>
      </c>
      <c r="BT5" s="5"/>
    </row>
    <row r="6" spans="2:83" x14ac:dyDescent="0.3">
      <c r="C6" t="s">
        <v>397</v>
      </c>
      <c r="D6" s="7">
        <f>IF(MONTH(MAX(TableTrend[review_time]))=12,DATE(YEAR(MAX(TableTrend[review_time])),1,31),DATE(YEAR(MAX(TableTrend[review_time])),MONTH(MAX(TableTrend[review_time]))+1,1))</f>
        <v>45322</v>
      </c>
      <c r="E6" s="7"/>
      <c r="F6" s="1" t="s">
        <v>401</v>
      </c>
      <c r="G6" s="2"/>
      <c r="J6" s="1" t="s">
        <v>213</v>
      </c>
      <c r="K6" s="2"/>
      <c r="L6" s="2"/>
      <c r="M6" s="2"/>
      <c r="N6" s="2"/>
      <c r="O6" s="2"/>
      <c r="P6" s="2"/>
      <c r="Q6" s="2"/>
      <c r="R6" s="2"/>
      <c r="S6" s="2"/>
      <c r="X6" s="1" t="s">
        <v>214</v>
      </c>
      <c r="Y6" s="2"/>
      <c r="Z6" s="2"/>
      <c r="AA6" s="2"/>
      <c r="AB6" s="2"/>
      <c r="AC6" s="2"/>
      <c r="AD6" s="2"/>
      <c r="AE6" s="2"/>
      <c r="AF6" s="2"/>
      <c r="AG6" s="2"/>
      <c r="AH6" s="2"/>
      <c r="AI6" s="2"/>
      <c r="AJ6" s="2"/>
      <c r="AK6" s="2"/>
      <c r="AL6" s="2"/>
      <c r="AM6" s="2"/>
      <c r="AN6" s="2"/>
      <c r="AO6" s="2"/>
      <c r="AP6" s="2"/>
      <c r="AQ6" s="2"/>
      <c r="AR6" s="2"/>
      <c r="AS6" s="2"/>
      <c r="AT6" s="2"/>
      <c r="AU6" s="2"/>
      <c r="AW6" s="1" t="s">
        <v>362</v>
      </c>
      <c r="AX6" s="2"/>
      <c r="AY6" s="2"/>
      <c r="AZ6" s="2"/>
      <c r="BA6" s="2"/>
      <c r="BB6" s="2"/>
      <c r="BC6" s="2"/>
      <c r="BD6" s="2"/>
      <c r="BE6" s="2"/>
      <c r="BF6" s="2"/>
      <c r="BI6" s="25">
        <v>44171</v>
      </c>
      <c r="BK6" t="s">
        <v>377</v>
      </c>
      <c r="BL6" s="31"/>
      <c r="BM6" s="31" t="s">
        <v>0</v>
      </c>
      <c r="BN6" s="31" t="s">
        <v>218</v>
      </c>
      <c r="BO6" s="31" t="s">
        <v>217</v>
      </c>
      <c r="BP6" s="31" t="s">
        <v>216</v>
      </c>
      <c r="BQ6" s="31" t="s">
        <v>219</v>
      </c>
      <c r="BR6" s="31" t="s">
        <v>3</v>
      </c>
      <c r="BS6" s="31" t="s">
        <v>366</v>
      </c>
      <c r="BT6" s="31" t="s">
        <v>367</v>
      </c>
      <c r="BU6" s="31" t="s">
        <v>368</v>
      </c>
    </row>
    <row r="7" spans="2:83" x14ac:dyDescent="0.3">
      <c r="C7" t="s">
        <v>211</v>
      </c>
      <c r="D7" s="7">
        <f>IFERROR(DATE(dashboard!S11,dashboard!S12,dashboard!S13),$D$5)</f>
        <v>43800</v>
      </c>
      <c r="E7" s="7"/>
      <c r="F7" s="7" t="s">
        <v>402</v>
      </c>
      <c r="H7" s="13">
        <f>SUMIFS(TableTrend[positive],TableTrend[review_time],"&gt;="&amp;$D$7, TableTrend[review_time],"&lt;="&amp;$D$8)/SUMIFS(TableTrend[total],TableTrend[review_time],"&gt;="&amp;$D$7, TableTrend[review_time],"&lt;="&amp;$D$8)</f>
        <v>0.33823529411764708</v>
      </c>
      <c r="J7" t="s">
        <v>207</v>
      </c>
      <c r="K7" s="7" t="s">
        <v>0</v>
      </c>
      <c r="L7" t="s">
        <v>208</v>
      </c>
      <c r="M7" t="s">
        <v>209</v>
      </c>
      <c r="N7" t="s">
        <v>210</v>
      </c>
      <c r="X7" s="12" t="s">
        <v>2</v>
      </c>
      <c r="Y7" s="10" t="s">
        <v>215</v>
      </c>
      <c r="Z7" s="18"/>
      <c r="AA7" s="10" t="s">
        <v>215</v>
      </c>
      <c r="AB7" s="10" t="s">
        <v>218</v>
      </c>
      <c r="AC7" s="10" t="s">
        <v>217</v>
      </c>
      <c r="AD7" s="10" t="s">
        <v>216</v>
      </c>
      <c r="AE7" s="11" t="s">
        <v>219</v>
      </c>
      <c r="AF7" s="16" t="s">
        <v>373</v>
      </c>
      <c r="AG7" s="19"/>
      <c r="AH7" s="16" t="s">
        <v>374</v>
      </c>
      <c r="AI7" s="16" t="s">
        <v>215</v>
      </c>
      <c r="AJ7" s="16" t="s">
        <v>218</v>
      </c>
      <c r="AK7" s="16" t="s">
        <v>217</v>
      </c>
      <c r="AL7" s="16" t="s">
        <v>216</v>
      </c>
      <c r="AM7" s="16" t="s">
        <v>219</v>
      </c>
      <c r="AN7" s="19"/>
      <c r="AQ7" s="38" t="s">
        <v>215</v>
      </c>
      <c r="AR7" s="38" t="s">
        <v>218</v>
      </c>
      <c r="AS7" s="38" t="s">
        <v>217</v>
      </c>
      <c r="AT7" s="38" t="s">
        <v>216</v>
      </c>
      <c r="AU7" s="38" t="s">
        <v>219</v>
      </c>
      <c r="AW7" t="s">
        <v>206</v>
      </c>
      <c r="AX7" t="s">
        <v>218</v>
      </c>
      <c r="AY7" t="s">
        <v>217</v>
      </c>
      <c r="AZ7" t="s">
        <v>216</v>
      </c>
      <c r="BA7" t="s">
        <v>219</v>
      </c>
      <c r="BC7" t="s">
        <v>365</v>
      </c>
      <c r="BD7" t="s">
        <v>366</v>
      </c>
      <c r="BE7" t="s">
        <v>367</v>
      </c>
      <c r="BF7" t="s">
        <v>368</v>
      </c>
      <c r="BI7" s="25">
        <v>44536</v>
      </c>
      <c r="BK7" t="s">
        <v>379</v>
      </c>
      <c r="BL7" s="31">
        <v>1</v>
      </c>
      <c r="BM7" s="32">
        <f t="shared" ref="BM7:BM35" si="0">DATE(YEAR($D$8),MONTH($D$8),BL7)</f>
        <v>44896</v>
      </c>
      <c r="BN7" s="31" cm="1">
        <f t="array" ref="BN7">IF(MONTH($D$8)=MONTH(BM7),SUMIFS(TableTrend[positive],TableTrend[review_time],"="&amp;$BM7,TableTrend[topic],"="&amp;INDEX($C$22:$C$28,$D$3)),NA())</f>
        <v>0</v>
      </c>
      <c r="BO7" s="31" cm="1">
        <f t="array" ref="BO7">IF(MONTH($D$8)=MONTH(BM7),SUMIFS(TableTrend[neutral],TableTrend[review_time],"="&amp;$BM7,TableTrend[topic],"="&amp;INDEX($C$22:$C$28,$D$3)),NA())</f>
        <v>0</v>
      </c>
      <c r="BP7" s="31" cm="1">
        <f t="array" ref="BP7">IF(MONTH($D$8)=MONTH(BM7),SUMIFS(TableTrend[negative],TableTrend[review_time],"="&amp;$BM7,TableTrend[topic],"="&amp;INDEX($C$22:$C$28,$D$3)),NA())</f>
        <v>0</v>
      </c>
      <c r="BQ7" s="31" cm="1">
        <f t="array" ref="BQ7">IF(MONTH($D$8)=MONTH(BM7),SUMIFS(TableTrend[total],TableTrend[review_time],"="&amp;$BM7,TableTrend[topic],"="&amp;INDEX($C$22:$C$28,$D$3)),NA())</f>
        <v>0</v>
      </c>
      <c r="BR7" s="31" cm="1">
        <f t="array" ref="BR7">IF($BK$14,IF(MONTH($D$8)=MONTH(BM7),IFERROR(SUMIFS(TableTrend[rating_sum],TableTrend[review_time],"="&amp;$BM7,TableTrend[topic],"="&amp;INDEX($C$22:$C$28,$D$3)) / SUMIFS(TableTrend[rating_count],TableTrend[review_time],"="&amp;$BM7,TableTrend[topic],"="&amp;INDEX($C$22:$C$28,$D$3)),0),NA()),NA())</f>
        <v>0</v>
      </c>
      <c r="BS7" s="33" t="str">
        <f>_xlfn.IFNA(IF($BN7=0,"",$BN7/$BQ7),"")</f>
        <v/>
      </c>
      <c r="BT7" s="33" t="str">
        <f>_xlfn.IFNA(IF($BO7=0,"",$BO7/$BQ7),"")</f>
        <v/>
      </c>
      <c r="BU7" s="33" t="str">
        <f>_xlfn.IFNA(IF($BP7=0,"",$BP7/$BQ7),"")</f>
        <v/>
      </c>
      <c r="BV7" s="26"/>
      <c r="BW7" s="26"/>
      <c r="BX7" s="26"/>
      <c r="BY7" s="26"/>
      <c r="BZ7" s="26"/>
      <c r="CE7" s="26"/>
    </row>
    <row r="8" spans="2:83" x14ac:dyDescent="0.3">
      <c r="C8" t="s">
        <v>212</v>
      </c>
      <c r="D8" s="7">
        <f>IFERROR(DATE(dashboard!T11,dashboard!T12,dashboard!T13),$D$6)</f>
        <v>44907</v>
      </c>
      <c r="F8" t="s">
        <v>403</v>
      </c>
      <c r="H8" s="13">
        <f>SUMIFS(TableTrend[negative],TableTrend[review_time],"&gt;="&amp;$D$7, TableTrend[review_time],"&lt;="&amp;$D$8)/SUMIFS(TableTrend[total],TableTrend[review_time],"&gt;="&amp;$D$7, TableTrend[review_time],"&lt;="&amp;$D$8)</f>
        <v>0.57352941176470584</v>
      </c>
      <c r="J8" cm="1">
        <f t="array" ref="J8:N15">CHOOSE($D$3,FetchingFood,FetchingCondiment,FetchingPackage,FetchingPricing,FetchingExperience,FetchingService,FetchingMiscellaneous)</f>
        <v>84</v>
      </c>
      <c r="K8" s="7">
        <v>43803</v>
      </c>
      <c r="L8">
        <v>3</v>
      </c>
      <c r="M8" t="str">
        <v>Driving through the drive thru can get pretty backed up during normal meal periods, so often it is better to go inside. Make sure you go close to regular meal periods for fresher food; the ones under the heat lamp for a while are fresher. The store is always clean.</v>
      </c>
      <c r="N8" t="str">
        <v>● heat lamp: positive
● food: positive
● meal periods: negative</v>
      </c>
      <c r="X8" s="7" cm="1">
        <f t="array" ref="X8:Y15">_xlfn._xlws.FILTER(TableAspect[[review_time]:[aspect]],(TableAspect[review_time]&gt;=D7)*(TableAspect[review_time]&lt;=D8)*(TableAspect[topic]=INDEX($C$22:$C$28,$D$3,)))</f>
        <v>43805</v>
      </c>
      <c r="Y8" s="9" t="str">
        <v>heat lamp</v>
      </c>
      <c r="Z8" s="9"/>
      <c r="AA8" s="9" t="str" cm="1">
        <f t="array" ref="AA8:AA14">IF(_xlfn.UNIQUE(Y8:Y1048505)=0,"",_xlfn.UNIQUE(Y8:Y1048505))</f>
        <v>heat lamp</v>
      </c>
      <c r="AB8" s="8">
        <f>SUMIFS(TableAspect[positive],TableAspect[aspect],"="&amp;AA8,TableAspect[review_time],"&gt;="&amp;$D$7,TableAspect[review_time],"&lt;="&amp;$D$8)</f>
        <v>1</v>
      </c>
      <c r="AC8" s="8">
        <f>SUMIFS(TableAspect[neutral],TableAspect[aspect],"="&amp;AA8,TableAspect[review_time],"&gt;="&amp;$D$7,TableAspect[review_time],"&lt;="&amp;$D$8)</f>
        <v>0</v>
      </c>
      <c r="AD8" s="8">
        <f>SUMIFS(TableAspect[negative],TableAspect[aspect],"="&amp;AA8,TableAspect[review_time],"&gt;="&amp;$D$7,TableAspect[review_time],"&lt;="&amp;$D$8)</f>
        <v>0</v>
      </c>
      <c r="AE8">
        <f>SUMIFS(TableAspect[total],TableAspect[aspect],"="&amp;AA8,TableAspect[review_time],"&gt;="&amp;$D$7,TableAspect[review_time],"&lt;="&amp;$D$8)</f>
        <v>1</v>
      </c>
      <c r="AF8">
        <f>AE8+(COUNTIFS($AE$8:AE8,AE8) - 1) * 0.000000001</f>
        <v>1</v>
      </c>
      <c r="AH8">
        <f>LARGE($AF$8:$AF$1048505,ROW()-ROW($AH$7))</f>
        <v>2.0000000010000001</v>
      </c>
      <c r="AI8" t="str">
        <f>INDEX($AA$8:$AA$1048505,MATCH(AH8,$AF$8:$AF$1048505,0))</f>
        <v>order</v>
      </c>
      <c r="AJ8">
        <f>INDEX($AB$8:$AB$1048505,MATCH(AH8,$AF$8:$AF$1048505,0))</f>
        <v>0</v>
      </c>
      <c r="AK8">
        <f>INDEX($AC$8:$AC$1048505,MATCH(AH8,$AF$8:$AF$1048505,0))</f>
        <v>0</v>
      </c>
      <c r="AL8">
        <f>INDEX($AD$8:$AD$1048505,MATCH(AH8,$AF$8:$AF$1048505,0))</f>
        <v>2</v>
      </c>
      <c r="AM8">
        <f>INDEX($AE$8:$AE$1048505,MATCH(AH8,$AF$8:$AF$1048505,0))</f>
        <v>2</v>
      </c>
      <c r="AN8" s="17" t="s">
        <v>358</v>
      </c>
      <c r="AO8" s="17"/>
      <c r="AQ8" s="39" t="str" cm="1">
        <f t="array" ref="AQ8">IFERROR(IF(INDEX(AI8:$AI$1048505,$D$4,)=0,"",INDEX(AI8:$AI$1048505,$D$4,)),"")</f>
        <v>order</v>
      </c>
      <c r="AR8" s="40" t="str" cm="1">
        <f t="array" ref="AR8">IFERROR(IF(INDEX(AJ8:$AJ$1048505,$D$4,)=0,"",INDEX(AJ8:$AJ$1048505,$D$4,)),"")</f>
        <v/>
      </c>
      <c r="AS8" s="40" t="str" cm="1">
        <f t="array" ref="AS8">IFERROR(IF(INDEX(AK8:$AK$1048505,$D$4,)=0,"",INDEX(AK8:$AK$1048505,$D$4,)),"")</f>
        <v/>
      </c>
      <c r="AT8" s="40" cm="1">
        <f t="array" ref="AT8">IFERROR(IF(INDEX(AL8:$AL$1048505,$D$4,)=0,"",INDEX(AL8:$AL$1048505,$D$4,)),"")</f>
        <v>2</v>
      </c>
      <c r="AU8" s="40" cm="1">
        <f t="array" ref="AU8">IFERROR(IF(INDEX(AM8:$AM$1048505,$D$4,)=0,"",INDEX(AM8:$AM$1048505,$D$4,)),"")</f>
        <v>2</v>
      </c>
      <c r="AW8" t="str">
        <f t="shared" ref="AW8:AW14" si="1">C22</f>
        <v>Food and Menu Items</v>
      </c>
      <c r="AX8">
        <f>SUMIFS(TableAspect[positive],TableAspect[topic],"="&amp;$AW8,TableAspect[review_time],"&gt;="&amp;$D$7,TableAspect[review_time],"&lt;="&amp;$D$8)</f>
        <v>11</v>
      </c>
      <c r="AY8">
        <f>SUMIFS(TableAspect[neutral],TableAspect[topic],"="&amp;$AW8,TableAspect[review_time],"&gt;="&amp;$D$7,TableAspect[review_time],"&lt;="&amp;$D$8)</f>
        <v>1</v>
      </c>
      <c r="AZ8">
        <f>SUMIFS(TableAspect[negative],TableAspect[topic],"="&amp;$AW8,TableAspect[review_time],"&gt;="&amp;$D$7,TableAspect[review_time],"&lt;="&amp;$D$8)</f>
        <v>6</v>
      </c>
      <c r="BA8">
        <f>IF(SUMIFS(TableAspect[total],TableAspect[topic],"="&amp;$AW8,TableAspect[review_time],"&gt;="&amp;$D$7,TableAspect[review_time],"&lt;="&amp;$D$8)&lt;&gt;0,SUMIFS(TableAspect[total],TableAspect[topic],"="&amp;$AW8,TableAspect[review_time],"&gt;="&amp;$D$7,TableAspect[review_time],"&lt;="&amp;$D$8),"")</f>
        <v>18</v>
      </c>
      <c r="BC8">
        <v>0.25</v>
      </c>
      <c r="BD8" s="13">
        <f>IFERROR(IF(AX8/$BA$8&gt;0.05,AX8/$BA$8,""),"")</f>
        <v>0.61111111111111116</v>
      </c>
      <c r="BE8" s="13">
        <f>IFERROR(IF(AY8/$BA$8&gt;0.05,AY8/$BA$8,""),"")</f>
        <v>5.5555555555555552E-2</v>
      </c>
      <c r="BF8" s="13">
        <f>IFERROR(IF(AZ8/$BA$8&gt;0.05,AZ8/$BA$8,""),"")</f>
        <v>0.33333333333333331</v>
      </c>
      <c r="BI8" s="25">
        <v>44901</v>
      </c>
      <c r="BL8" s="31">
        <v>2</v>
      </c>
      <c r="BM8" s="32">
        <f t="shared" si="0"/>
        <v>44897</v>
      </c>
      <c r="BN8" s="31" cm="1">
        <f t="array" ref="BN8">IF(MONTH($D$8)=MONTH(BM8),SUMIFS(TableTrend[positive],TableTrend[review_time],"="&amp;$BM8,TableTrend[topic],"="&amp;INDEX($C$22:$C$28,$D$3)),NA())</f>
        <v>0</v>
      </c>
      <c r="BO8" s="31" cm="1">
        <f t="array" ref="BO8">IF(MONTH($D$8)=MONTH(BM8),SUMIFS(TableTrend[neutral],TableTrend[review_time],"="&amp;$BM8,TableTrend[topic],"="&amp;INDEX($C$22:$C$28,$D$3)),NA())</f>
        <v>0</v>
      </c>
      <c r="BP8" s="31" cm="1">
        <f t="array" ref="BP8">IF(MONTH($D$8)=MONTH(BM8),SUMIFS(TableTrend[negative],TableTrend[review_time],"="&amp;$BM8,TableTrend[topic],"="&amp;INDEX($C$22:$C$28,$D$3)),NA())</f>
        <v>0</v>
      </c>
      <c r="BQ8" s="31" cm="1">
        <f t="array" ref="BQ8">IF(MONTH($D$8)=MONTH(BM8),SUMIFS(TableTrend[total],TableTrend[review_time],"="&amp;$BM8,TableTrend[topic],"="&amp;INDEX($C$22:$C$28,$D$3)),NA())</f>
        <v>0</v>
      </c>
      <c r="BR8" s="31" cm="1">
        <f t="array" ref="BR8">IF($BK$14,IF(MONTH($D$8)=MONTH(BM8),IFERROR(SUMIFS(TableTrend[rating_sum],TableTrend[review_time],"="&amp;$BM8,TableTrend[topic],"="&amp;INDEX($C$22:$C$28,$D$3)) / SUMIFS(TableTrend[rating_count],TableTrend[review_time],"="&amp;$BM8,TableTrend[topic],"="&amp;INDEX($C$22:$C$28,$D$3)),0),NA()),NA())</f>
        <v>0</v>
      </c>
      <c r="BS8" s="33" t="str">
        <f t="shared" ref="BS8:BS37" si="2">_xlfn.IFNA(IF($BN8=0,"",$BN8/$BQ8),"")</f>
        <v/>
      </c>
      <c r="BT8" s="33" t="str">
        <f t="shared" ref="BT8:BT37" si="3">_xlfn.IFNA(IF($BO8=0,"",$BO8/$BQ8),"")</f>
        <v/>
      </c>
      <c r="BU8" s="33" t="str">
        <f t="shared" ref="BU8:BU37" si="4">_xlfn.IFNA(IF($BP8=0,"",$BP8/$BQ8),"")</f>
        <v/>
      </c>
      <c r="BV8" s="26"/>
      <c r="BW8" s="26"/>
      <c r="BX8" s="26"/>
      <c r="BY8" s="26"/>
      <c r="BZ8" s="26"/>
      <c r="CE8" s="26"/>
    </row>
    <row r="9" spans="2:83" x14ac:dyDescent="0.3">
      <c r="J9">
        <v>74</v>
      </c>
      <c r="K9" s="7">
        <v>43803</v>
      </c>
      <c r="L9">
        <v>1</v>
      </c>
      <c r="M9" t="str">
        <v>All I got for my trouble was a "sorry for the wait," not even an explanation. It's not the first time I've had bad service. I once pulled up and they just said we're not serving right now, even though it was smack dab in the middle of the day hours.</v>
      </c>
      <c r="N9" t="str">
        <v>● serving: negative
● service: negative
● wait: negative</v>
      </c>
      <c r="X9" s="9">
        <v>43805</v>
      </c>
      <c r="Y9" s="9" t="str">
        <v>wait</v>
      </c>
      <c r="Z9" s="9"/>
      <c r="AA9" s="9" t="str">
        <v>wait</v>
      </c>
      <c r="AB9" s="8">
        <f>SUMIFS(TableAspect[positive],TableAspect[aspect],"="&amp;AA9,TableAspect[review_time],"&gt;="&amp;$D$7,TableAspect[review_time],"&lt;="&amp;$D$8)</f>
        <v>0</v>
      </c>
      <c r="AC9" s="8">
        <f>SUMIFS(TableAspect[neutral],TableAspect[aspect],"="&amp;AA9,TableAspect[review_time],"&gt;="&amp;$D$7,TableAspect[review_time],"&lt;="&amp;$D$8)</f>
        <v>0</v>
      </c>
      <c r="AD9" s="8">
        <f>SUMIFS(TableAspect[negative],TableAspect[aspect],"="&amp;AA9,TableAspect[review_time],"&gt;="&amp;$D$7,TableAspect[review_time],"&lt;="&amp;$D$8)</f>
        <v>2</v>
      </c>
      <c r="AE9">
        <f>SUMIFS(TableAspect[total],TableAspect[aspect],"="&amp;AA9,TableAspect[review_time],"&gt;="&amp;$D$7,TableAspect[review_time],"&lt;="&amp;$D$8)</f>
        <v>2</v>
      </c>
      <c r="AF9">
        <f>AE9+(COUNTIFS($AE$8:AE9,AE9) - 1) * 0.000000001</f>
        <v>2</v>
      </c>
      <c r="AH9">
        <f t="shared" ref="AH9:AH72" si="5">LARGE($AF$8:$AF$1048505,ROW()-ROW($AH$7))</f>
        <v>2</v>
      </c>
      <c r="AI9" t="str">
        <f t="shared" ref="AI9:AI72" si="6">INDEX($AA$8:$AA$1048505,MATCH(AH9,$AF$8:$AF$1048505,0))</f>
        <v>wait</v>
      </c>
      <c r="AJ9">
        <f t="shared" ref="AJ9:AJ72" si="7">INDEX($AB$8:$AB$1048505,MATCH(AH9,$AF$8:$AF$1048505,0))</f>
        <v>0</v>
      </c>
      <c r="AK9">
        <f t="shared" ref="AK9:AK72" si="8">INDEX($AC$8:$AC$1048505,MATCH(AH9,$AF$8:$AF$1048505,0))</f>
        <v>0</v>
      </c>
      <c r="AL9">
        <f t="shared" ref="AL9:AL72" si="9">INDEX($AD$8:$AD$1048505,MATCH(AH9,$AF$8:$AF$1048505,0))</f>
        <v>2</v>
      </c>
      <c r="AM9">
        <f t="shared" ref="AM9:AM72" si="10">INDEX($AE$8:$AE$1048505,MATCH(AH9,$AF$8:$AF$1048505,0))</f>
        <v>2</v>
      </c>
      <c r="AN9" s="17" t="s">
        <v>359</v>
      </c>
      <c r="AO9" s="17">
        <f>AM8 + 3</f>
        <v>5</v>
      </c>
      <c r="AQ9" s="39" t="str" cm="1">
        <f t="array" ref="AQ9">IFERROR(IF(INDEX(AI9:$AI$1048505,$D$4,)=0,"",INDEX(AI9:$AI$1048505,$D$4,)),"")</f>
        <v>wait</v>
      </c>
      <c r="AR9" s="40" t="str" cm="1">
        <f t="array" ref="AR9">IFERROR(IF(INDEX(AJ9:$AJ$1048505,$D$4,)=0,"",INDEX(AJ9:$AJ$1048505,$D$4,)),"")</f>
        <v/>
      </c>
      <c r="AS9" s="40" t="str" cm="1">
        <f t="array" ref="AS9">IFERROR(IF(INDEX(AK9:$AK$1048505,$D$4,)=0,"",INDEX(AK9:$AK$1048505,$D$4,)),"")</f>
        <v/>
      </c>
      <c r="AT9" s="40" cm="1">
        <f t="array" ref="AT9">IFERROR(IF(INDEX(AL9:$AL$1048505,$D$4,)=0,"",INDEX(AL9:$AL$1048505,$D$4,)),"")</f>
        <v>2</v>
      </c>
      <c r="AU9" s="40" cm="1">
        <f t="array" ref="AU9">IFERROR(IF(INDEX(AM9:$AM$1048505,$D$4,)=0,"",INDEX(AM9:$AM$1048505,$D$4,)),"")</f>
        <v>2</v>
      </c>
      <c r="AW9" t="str">
        <f t="shared" si="1"/>
        <v>Condiments</v>
      </c>
      <c r="AX9">
        <f>SUMIFS(TableAspect[positive],TableAspect[topic],"="&amp;$AW9,TableAspect[review_time],"&gt;="&amp;$D$7,TableAspect[review_time],"&lt;="&amp;$D$8)</f>
        <v>0</v>
      </c>
      <c r="AY9">
        <f>SUMIFS(TableAspect[neutral],TableAspect[topic],"="&amp;$AW9,TableAspect[review_time],"&gt;="&amp;$D$7,TableAspect[review_time],"&lt;="&amp;$D$8)</f>
        <v>0</v>
      </c>
      <c r="AZ9">
        <f>SUMIFS(TableAspect[negative],TableAspect[topic],"="&amp;$AW9,TableAspect[review_time],"&gt;="&amp;$D$7,TableAspect[review_time],"&lt;="&amp;$D$8)</f>
        <v>2</v>
      </c>
      <c r="BA9">
        <f>IF(SUMIFS(TableAspect[total],TableAspect[topic],"="&amp;$AW9,TableAspect[review_time],"&gt;="&amp;$D$7,TableAspect[review_time],"&lt;="&amp;$D$8)&lt;&gt;0,SUMIFS(TableAspect[total],TableAspect[topic],"="&amp;$AW9,TableAspect[review_time],"&gt;="&amp;$D$7,TableAspect[review_time],"&lt;="&amp;$D$8),"")</f>
        <v>2</v>
      </c>
      <c r="BC9">
        <v>0.25</v>
      </c>
      <c r="BD9" s="13" t="str">
        <f t="shared" ref="BD9:BD14" si="11">IFERROR(IF(AX9/$BA$8&gt;0.05,AX9/$BA$8,""),"")</f>
        <v/>
      </c>
      <c r="BE9" s="13" t="str">
        <f t="shared" ref="BE9:BE14" si="12">IFERROR(IF(AY9/$BA$8&gt;0.05,AY9/$BA$8,""),"")</f>
        <v/>
      </c>
      <c r="BF9" s="13">
        <f t="shared" ref="BF9:BF14" si="13">IFERROR(IF(AZ9/$BA$8&gt;0.05,AZ9/$BA$8,""),"")</f>
        <v>0.1111111111111111</v>
      </c>
      <c r="BI9" s="25">
        <v>45266</v>
      </c>
      <c r="BL9" s="31">
        <v>3</v>
      </c>
      <c r="BM9" s="32">
        <f t="shared" si="0"/>
        <v>44898</v>
      </c>
      <c r="BN9" s="31" cm="1">
        <f t="array" ref="BN9">IF(MONTH($D$8)=MONTH(BM9),SUMIFS(TableTrend[positive],TableTrend[review_time],"="&amp;$BM9,TableTrend[topic],"="&amp;INDEX($C$22:$C$28,$D$3)),NA())</f>
        <v>0</v>
      </c>
      <c r="BO9" s="31" cm="1">
        <f t="array" ref="BO9">IF(MONTH($D$8)=MONTH(BM9),SUMIFS(TableTrend[neutral],TableTrend[review_time],"="&amp;$BM9,TableTrend[topic],"="&amp;INDEX($C$22:$C$28,$D$3)),NA())</f>
        <v>0</v>
      </c>
      <c r="BP9" s="31" cm="1">
        <f t="array" ref="BP9">IF(MONTH($D$8)=MONTH(BM9),SUMIFS(TableTrend[negative],TableTrend[review_time],"="&amp;$BM9,TableTrend[topic],"="&amp;INDEX($C$22:$C$28,$D$3)),NA())</f>
        <v>0</v>
      </c>
      <c r="BQ9" s="31" cm="1">
        <f t="array" ref="BQ9">IF(MONTH($D$8)=MONTH(BM9),SUMIFS(TableTrend[total],TableTrend[review_time],"="&amp;$BM9,TableTrend[topic],"="&amp;INDEX($C$22:$C$28,$D$3)),NA())</f>
        <v>0</v>
      </c>
      <c r="BR9" s="31" cm="1">
        <f t="array" ref="BR9">IF($BK$14,IF(MONTH($D$8)=MONTH(BM9),IFERROR(SUMIFS(TableTrend[rating_sum],TableTrend[review_time],"="&amp;$BM9,TableTrend[topic],"="&amp;INDEX($C$22:$C$28,$D$3)) / SUMIFS(TableTrend[rating_count],TableTrend[review_time],"="&amp;$BM9,TableTrend[topic],"="&amp;INDEX($C$22:$C$28,$D$3)),0),NA()),NA())</f>
        <v>0</v>
      </c>
      <c r="BS9" s="33" t="str">
        <f t="shared" si="2"/>
        <v/>
      </c>
      <c r="BT9" s="33" t="str">
        <f t="shared" si="3"/>
        <v/>
      </c>
      <c r="BU9" s="33" t="str">
        <f t="shared" si="4"/>
        <v/>
      </c>
      <c r="BV9" s="26"/>
      <c r="BW9" s="26"/>
      <c r="BX9" s="26"/>
      <c r="BY9" s="26"/>
      <c r="BZ9" s="26"/>
    </row>
    <row r="10" spans="2:83" x14ac:dyDescent="0.3">
      <c r="C10" t="s">
        <v>382</v>
      </c>
      <c r="D10">
        <v>3</v>
      </c>
      <c r="J10">
        <v>96</v>
      </c>
      <c r="K10" s="7">
        <v>44169</v>
      </c>
      <c r="L10">
        <v>1</v>
      </c>
      <c r="M10" t="str">
        <v>Every single time I go they f up my order! Then give attitude when they need to correct their mistakes. The staff is horrible. Corporate needs to send all their staff over to a week of training at chic-fil-A college to learn about work ethic, time management, teamwork and basic manors.</v>
      </c>
      <c r="N10" t="str">
        <v>● time management: negative
● work: negative
● staff: negative
● manors: negative
● teamwork: negative</v>
      </c>
      <c r="X10" s="9">
        <v>44171</v>
      </c>
      <c r="Y10" s="9" t="str">
        <v>work</v>
      </c>
      <c r="Z10" s="9"/>
      <c r="AA10" s="9" t="str">
        <v>work</v>
      </c>
      <c r="AB10" s="8">
        <f>SUMIFS(TableAspect[positive],TableAspect[aspect],"="&amp;AA10,TableAspect[review_time],"&gt;="&amp;$D$7,TableAspect[review_time],"&lt;="&amp;$D$8)</f>
        <v>0</v>
      </c>
      <c r="AC10" s="8">
        <f>SUMIFS(TableAspect[neutral],TableAspect[aspect],"="&amp;AA10,TableAspect[review_time],"&gt;="&amp;$D$7,TableAspect[review_time],"&lt;="&amp;$D$8)</f>
        <v>0</v>
      </c>
      <c r="AD10" s="8">
        <f>SUMIFS(TableAspect[negative],TableAspect[aspect],"="&amp;AA10,TableAspect[review_time],"&gt;="&amp;$D$7,TableAspect[review_time],"&lt;="&amp;$D$8)</f>
        <v>1</v>
      </c>
      <c r="AE10">
        <f>SUMIFS(TableAspect[total],TableAspect[aspect],"="&amp;AA10,TableAspect[review_time],"&gt;="&amp;$D$7,TableAspect[review_time],"&lt;="&amp;$D$8)</f>
        <v>1</v>
      </c>
      <c r="AF10">
        <f>AE10+(COUNTIFS($AE$8:AE10,AE10) - 1) * 0.000000001</f>
        <v>1.0000000010000001</v>
      </c>
      <c r="AH10">
        <f t="shared" si="5"/>
        <v>1.000000003</v>
      </c>
      <c r="AI10" t="str">
        <f t="shared" si="6"/>
        <v>drive thru line</v>
      </c>
      <c r="AJ10">
        <f t="shared" si="7"/>
        <v>0</v>
      </c>
      <c r="AK10">
        <f t="shared" si="8"/>
        <v>0</v>
      </c>
      <c r="AL10">
        <f t="shared" si="9"/>
        <v>1</v>
      </c>
      <c r="AM10">
        <f t="shared" si="10"/>
        <v>1</v>
      </c>
      <c r="AN10" s="17" t="s">
        <v>360</v>
      </c>
      <c r="AO10" s="17">
        <v>0</v>
      </c>
      <c r="AQ10" s="39" t="str" cm="1">
        <f t="array" ref="AQ10">IFERROR(IF(INDEX(AI10:$AI$1048505,$D$4,)=0,"",INDEX(AI10:$AI$1048505,$D$4,)),"")</f>
        <v>drive thru line</v>
      </c>
      <c r="AR10" s="40" t="str" cm="1">
        <f t="array" ref="AR10">IFERROR(IF(INDEX(AJ10:$AJ$1048505,$D$4,)=0,"",INDEX(AJ10:$AJ$1048505,$D$4,)),"")</f>
        <v/>
      </c>
      <c r="AS10" s="40" t="str" cm="1">
        <f t="array" ref="AS10">IFERROR(IF(INDEX(AK10:$AK$1048505,$D$4,)=0,"",INDEX(AK10:$AK$1048505,$D$4,)),"")</f>
        <v/>
      </c>
      <c r="AT10" s="40" cm="1">
        <f t="array" ref="AT10">IFERROR(IF(INDEX(AL10:$AL$1048505,$D$4,)=0,"",INDEX(AL10:$AL$1048505,$D$4,)),"")</f>
        <v>1</v>
      </c>
      <c r="AU10" s="40" cm="1">
        <f t="array" ref="AU10">IFERROR(IF(INDEX(AM10:$AM$1048505,$D$4,)=0,"",INDEX(AM10:$AM$1048505,$D$4,)),"")</f>
        <v>1</v>
      </c>
      <c r="AW10" t="str">
        <f t="shared" si="1"/>
        <v>Packaging</v>
      </c>
      <c r="AX10">
        <f>SUMIFS(TableAspect[positive],TableAspect[topic],"="&amp;$AW10,TableAspect[review_time],"&gt;="&amp;$D$7,TableAspect[review_time],"&lt;="&amp;$D$8)</f>
        <v>0</v>
      </c>
      <c r="AY10">
        <f>SUMIFS(TableAspect[neutral],TableAspect[topic],"="&amp;$AW10,TableAspect[review_time],"&gt;="&amp;$D$7,TableAspect[review_time],"&lt;="&amp;$D$8)</f>
        <v>2</v>
      </c>
      <c r="AZ10">
        <f>SUMIFS(TableAspect[negative],TableAspect[topic],"="&amp;$AW10,TableAspect[review_time],"&gt;="&amp;$D$7,TableAspect[review_time],"&lt;="&amp;$D$8)</f>
        <v>1</v>
      </c>
      <c r="BA10">
        <f>IF(SUMIFS(TableAspect[total],TableAspect[topic],"="&amp;$AW10,TableAspect[review_time],"&gt;="&amp;$D$7,TableAspect[review_time],"&lt;="&amp;$D$8)&lt;&gt;0,SUMIFS(TableAspect[total],TableAspect[topic],"="&amp;$AW10,TableAspect[review_time],"&gt;="&amp;$D$7,TableAspect[review_time],"&lt;="&amp;$D$8),"")</f>
        <v>3</v>
      </c>
      <c r="BC10">
        <v>0.25</v>
      </c>
      <c r="BD10" s="13" t="str">
        <f t="shared" si="11"/>
        <v/>
      </c>
      <c r="BE10" s="13">
        <f t="shared" si="12"/>
        <v>0.1111111111111111</v>
      </c>
      <c r="BF10" s="13">
        <f t="shared" si="13"/>
        <v>5.5555555555555552E-2</v>
      </c>
      <c r="BI10" s="25">
        <v>45297</v>
      </c>
      <c r="BL10" s="31">
        <v>4</v>
      </c>
      <c r="BM10" s="32">
        <f t="shared" si="0"/>
        <v>44899</v>
      </c>
      <c r="BN10" s="31" cm="1">
        <f t="array" ref="BN10">IF(MONTH($D$8)=MONTH(BM10),SUMIFS(TableTrend[positive],TableTrend[review_time],"="&amp;$BM10,TableTrend[topic],"="&amp;INDEX($C$22:$C$28,$D$3)),NA())</f>
        <v>0</v>
      </c>
      <c r="BO10" s="31" cm="1">
        <f t="array" ref="BO10">IF(MONTH($D$8)=MONTH(BM10),SUMIFS(TableTrend[neutral],TableTrend[review_time],"="&amp;$BM10,TableTrend[topic],"="&amp;INDEX($C$22:$C$28,$D$3)),NA())</f>
        <v>0</v>
      </c>
      <c r="BP10" s="31" cm="1">
        <f t="array" ref="BP10">IF(MONTH($D$8)=MONTH(BM10),SUMIFS(TableTrend[negative],TableTrend[review_time],"="&amp;$BM10,TableTrend[topic],"="&amp;INDEX($C$22:$C$28,$D$3)),NA())</f>
        <v>0</v>
      </c>
      <c r="BQ10" s="31" cm="1">
        <f t="array" ref="BQ10">IF(MONTH($D$8)=MONTH(BM10),SUMIFS(TableTrend[total],TableTrend[review_time],"="&amp;$BM10,TableTrend[topic],"="&amp;INDEX($C$22:$C$28,$D$3)),NA())</f>
        <v>0</v>
      </c>
      <c r="BR10" s="31" cm="1">
        <f t="array" ref="BR10">IF($BK$14,IF(MONTH($D$8)=MONTH(BM10),IFERROR(SUMIFS(TableTrend[rating_sum],TableTrend[review_time],"="&amp;$BM10,TableTrend[topic],"="&amp;INDEX($C$22:$C$28,$D$3)) / SUMIFS(TableTrend[rating_count],TableTrend[review_time],"="&amp;$BM10,TableTrend[topic],"="&amp;INDEX($C$22:$C$28,$D$3)),0),NA()),NA())</f>
        <v>0</v>
      </c>
      <c r="BS10" s="33" t="str">
        <f t="shared" si="2"/>
        <v/>
      </c>
      <c r="BT10" s="33" t="str">
        <f t="shared" si="3"/>
        <v/>
      </c>
      <c r="BU10" s="33" t="str">
        <f t="shared" si="4"/>
        <v/>
      </c>
      <c r="BV10" s="26"/>
      <c r="BW10" s="26"/>
      <c r="BX10" s="26"/>
      <c r="BY10" s="26"/>
      <c r="BZ10" s="26"/>
    </row>
    <row r="11" spans="2:83" x14ac:dyDescent="0.3">
      <c r="C11" t="s">
        <v>386</v>
      </c>
      <c r="D11">
        <v>1</v>
      </c>
      <c r="J11">
        <v>98</v>
      </c>
      <c r="K11" s="7">
        <v>44534</v>
      </c>
      <c r="L11">
        <v>1</v>
      </c>
      <c r="M11" t="str">
        <v>I don't usually review places, but this location has ridiculously rude service and consistently gets the orders wrong. Even when not busy, they are rude. If I were rude, I wouldn't be able to enjoy the experience at this location. It's ridiculous.</v>
      </c>
      <c r="N11" t="str">
        <v>● orders: negative
● service: negative</v>
      </c>
      <c r="X11" s="9">
        <v>44536</v>
      </c>
      <c r="Y11" s="9" t="str">
        <v>uber</v>
      </c>
      <c r="Z11" s="9"/>
      <c r="AA11" s="9" t="str">
        <v>uber</v>
      </c>
      <c r="AB11" s="8">
        <f>SUMIFS(TableAspect[positive],TableAspect[aspect],"="&amp;AA11,TableAspect[review_time],"&gt;="&amp;$D$7,TableAspect[review_time],"&lt;="&amp;$D$8)</f>
        <v>0</v>
      </c>
      <c r="AC11" s="8">
        <f>SUMIFS(TableAspect[neutral],TableAspect[aspect],"="&amp;AA11,TableAspect[review_time],"&gt;="&amp;$D$7,TableAspect[review_time],"&lt;="&amp;$D$8)</f>
        <v>1</v>
      </c>
      <c r="AD11" s="8">
        <f>SUMIFS(TableAspect[negative],TableAspect[aspect],"="&amp;AA11,TableAspect[review_time],"&gt;="&amp;$D$7,TableAspect[review_time],"&lt;="&amp;$D$8)</f>
        <v>0</v>
      </c>
      <c r="AE11">
        <f>SUMIFS(TableAspect[total],TableAspect[aspect],"="&amp;AA11,TableAspect[review_time],"&gt;="&amp;$D$7,TableAspect[review_time],"&lt;="&amp;$D$8)</f>
        <v>1</v>
      </c>
      <c r="AF11">
        <f>AE11+(COUNTIFS($AE$8:AE11,AE11) - 1) * 0.000000001</f>
        <v>1.0000000019999999</v>
      </c>
      <c r="AH11">
        <f t="shared" si="5"/>
        <v>1.0000000019999999</v>
      </c>
      <c r="AI11" t="str">
        <f t="shared" si="6"/>
        <v>uber</v>
      </c>
      <c r="AJ11">
        <f t="shared" si="7"/>
        <v>0</v>
      </c>
      <c r="AK11">
        <f t="shared" si="8"/>
        <v>1</v>
      </c>
      <c r="AL11">
        <f t="shared" si="9"/>
        <v>0</v>
      </c>
      <c r="AM11">
        <f t="shared" si="10"/>
        <v>1</v>
      </c>
      <c r="AQ11" s="39" t="str" cm="1">
        <f t="array" ref="AQ11">IFERROR(IF(INDEX(AI11:$AI$1048505,$D$4,)=0,"",INDEX(AI11:$AI$1048505,$D$4,)),"")</f>
        <v>uber</v>
      </c>
      <c r="AR11" s="40" t="str" cm="1">
        <f t="array" ref="AR11">IFERROR(IF(INDEX(AJ11:$AJ$1048505,$D$4,)=0,"",INDEX(AJ11:$AJ$1048505,$D$4,)),"")</f>
        <v/>
      </c>
      <c r="AS11" s="40" cm="1">
        <f t="array" ref="AS11">IFERROR(IF(INDEX(AK11:$AK$1048505,$D$4,)=0,"",INDEX(AK11:$AK$1048505,$D$4,)),"")</f>
        <v>1</v>
      </c>
      <c r="AT11" s="40" t="str" cm="1">
        <f t="array" ref="AT11">IFERROR(IF(INDEX(AL11:$AL$1048505,$D$4,)=0,"",INDEX(AL11:$AL$1048505,$D$4,)),"")</f>
        <v/>
      </c>
      <c r="AU11" s="40" cm="1">
        <f t="array" ref="AU11">IFERROR(IF(INDEX(AM11:$AM$1048505,$D$4,)=0,"",INDEX(AM11:$AM$1048505,$D$4,)),"")</f>
        <v>1</v>
      </c>
      <c r="AW11" t="str">
        <f t="shared" si="1"/>
        <v>Pricing and Value</v>
      </c>
      <c r="AX11">
        <f>SUMIFS(TableAspect[positive],TableAspect[topic],"="&amp;$AW11,TableAspect[review_time],"&gt;="&amp;$D$7,TableAspect[review_time],"&lt;="&amp;$D$8)</f>
        <v>0</v>
      </c>
      <c r="AY11">
        <f>SUMIFS(TableAspect[neutral],TableAspect[topic],"="&amp;$AW11,TableAspect[review_time],"&gt;="&amp;$D$7,TableAspect[review_time],"&lt;="&amp;$D$8)</f>
        <v>0</v>
      </c>
      <c r="AZ11">
        <f>SUMIFS(TableAspect[negative],TableAspect[topic],"="&amp;$AW11,TableAspect[review_time],"&gt;="&amp;$D$7,TableAspect[review_time],"&lt;="&amp;$D$8)</f>
        <v>0</v>
      </c>
      <c r="BA11" t="str">
        <f>IF(SUMIFS(TableAspect[total],TableAspect[topic],"="&amp;$AW11,TableAspect[review_time],"&gt;="&amp;$D$7,TableAspect[review_time],"&lt;="&amp;$D$8)&lt;&gt;0,SUMIFS(TableAspect[total],TableAspect[topic],"="&amp;$AW11,TableAspect[review_time],"&gt;="&amp;$D$7,TableAspect[review_time],"&lt;="&amp;$D$8),"")</f>
        <v/>
      </c>
      <c r="BC11">
        <v>0.25</v>
      </c>
      <c r="BD11" s="13" t="str">
        <f t="shared" si="11"/>
        <v/>
      </c>
      <c r="BE11" s="13" t="str">
        <f t="shared" si="12"/>
        <v/>
      </c>
      <c r="BF11" s="13" t="str">
        <f t="shared" si="13"/>
        <v/>
      </c>
      <c r="BI11" s="25">
        <v>45328</v>
      </c>
      <c r="BJ11" s="29" t="s">
        <v>395</v>
      </c>
      <c r="BK11" s="29"/>
      <c r="BL11" s="31">
        <v>5</v>
      </c>
      <c r="BM11" s="32">
        <f t="shared" si="0"/>
        <v>44900</v>
      </c>
      <c r="BN11" s="31" cm="1">
        <f t="array" ref="BN11">IF(MONTH($D$8)=MONTH(BM11),SUMIFS(TableTrend[positive],TableTrend[review_time],"="&amp;$BM11,TableTrend[topic],"="&amp;INDEX($C$22:$C$28,$D$3)),NA())</f>
        <v>0</v>
      </c>
      <c r="BO11" s="31" cm="1">
        <f t="array" ref="BO11">IF(MONTH($D$8)=MONTH(BM11),SUMIFS(TableTrend[neutral],TableTrend[review_time],"="&amp;$BM11,TableTrend[topic],"="&amp;INDEX($C$22:$C$28,$D$3)),NA())</f>
        <v>0</v>
      </c>
      <c r="BP11" s="31" cm="1">
        <f t="array" ref="BP11">IF(MONTH($D$8)=MONTH(BM11),SUMIFS(TableTrend[negative],TableTrend[review_time],"="&amp;$BM11,TableTrend[topic],"="&amp;INDEX($C$22:$C$28,$D$3)),NA())</f>
        <v>0</v>
      </c>
      <c r="BQ11" s="31" cm="1">
        <f t="array" ref="BQ11">IF(MONTH($D$8)=MONTH(BM11),SUMIFS(TableTrend[total],TableTrend[review_time],"="&amp;$BM11,TableTrend[topic],"="&amp;INDEX($C$22:$C$28,$D$3)),NA())</f>
        <v>0</v>
      </c>
      <c r="BR11" s="31" cm="1">
        <f t="array" ref="BR11">IF($BK$14,IF(MONTH($D$8)=MONTH(BM11),IFERROR(SUMIFS(TableTrend[rating_sum],TableTrend[review_time],"="&amp;$BM11,TableTrend[topic],"="&amp;INDEX($C$22:$C$28,$D$3)) / SUMIFS(TableTrend[rating_count],TableTrend[review_time],"="&amp;$BM11,TableTrend[topic],"="&amp;INDEX($C$22:$C$28,$D$3)),0),NA()),NA())</f>
        <v>0</v>
      </c>
      <c r="BS11" s="33" t="str">
        <f t="shared" si="2"/>
        <v/>
      </c>
      <c r="BT11" s="33" t="str">
        <f t="shared" si="3"/>
        <v/>
      </c>
      <c r="BU11" s="33" t="str">
        <f t="shared" si="4"/>
        <v/>
      </c>
      <c r="BV11" s="26"/>
      <c r="BW11" s="26"/>
      <c r="BX11" s="26"/>
      <c r="BY11" s="26"/>
      <c r="BZ11" s="26"/>
    </row>
    <row r="12" spans="2:83" x14ac:dyDescent="0.3">
      <c r="J12">
        <v>86</v>
      </c>
      <c r="K12" s="7">
        <v>44534</v>
      </c>
      <c r="L12">
        <v>3</v>
      </c>
      <c r="M12" t="str">
        <v>When I order during the day, I have no issues. They are listed as a 24 hour location, so they show up on Uber Eats late at night. Anytime I order after midnight, they will accept my order and then sit around for an hour before canceling it.</v>
      </c>
      <c r="N12" t="str">
        <v>● uber: neutral</v>
      </c>
      <c r="X12" s="9">
        <v>44536</v>
      </c>
      <c r="Y12" s="7" t="str">
        <v>order</v>
      </c>
      <c r="Z12" s="9"/>
      <c r="AA12" s="9" t="str">
        <v>order</v>
      </c>
      <c r="AB12" s="8">
        <f>SUMIFS(TableAspect[positive],TableAspect[aspect],"="&amp;AA12,TableAspect[review_time],"&gt;="&amp;$D$7,TableAspect[review_time],"&lt;="&amp;$D$8)</f>
        <v>0</v>
      </c>
      <c r="AC12" s="8">
        <f>SUMIFS(TableAspect[neutral],TableAspect[aspect],"="&amp;AA12,TableAspect[review_time],"&gt;="&amp;$D$7,TableAspect[review_time],"&lt;="&amp;$D$8)</f>
        <v>0</v>
      </c>
      <c r="AD12" s="8">
        <f>SUMIFS(TableAspect[negative],TableAspect[aspect],"="&amp;AA12,TableAspect[review_time],"&gt;="&amp;$D$7,TableAspect[review_time],"&lt;="&amp;$D$8)</f>
        <v>2</v>
      </c>
      <c r="AE12">
        <f>SUMIFS(TableAspect[total],TableAspect[aspect],"="&amp;AA12,TableAspect[review_time],"&gt;="&amp;$D$7,TableAspect[review_time],"&lt;="&amp;$D$8)</f>
        <v>2</v>
      </c>
      <c r="AF12">
        <f>AE12+(COUNTIFS($AE$8:AE12,AE12) - 1) * 0.000000001</f>
        <v>2.0000000010000001</v>
      </c>
      <c r="AH12">
        <f t="shared" si="5"/>
        <v>1.0000000010000001</v>
      </c>
      <c r="AI12" t="str">
        <f t="shared" si="6"/>
        <v>work</v>
      </c>
      <c r="AJ12">
        <f t="shared" si="7"/>
        <v>0</v>
      </c>
      <c r="AK12">
        <f t="shared" si="8"/>
        <v>0</v>
      </c>
      <c r="AL12">
        <f t="shared" si="9"/>
        <v>1</v>
      </c>
      <c r="AM12">
        <f t="shared" si="10"/>
        <v>1</v>
      </c>
      <c r="AQ12" s="39" t="str" cm="1">
        <f t="array" ref="AQ12">IFERROR(IF(INDEX(AI12:$AI$1048505,$D$4,)=0,"",INDEX(AI12:$AI$1048505,$D$4,)),"")</f>
        <v>work</v>
      </c>
      <c r="AR12" s="40" t="str" cm="1">
        <f t="array" ref="AR12">IFERROR(IF(INDEX(AJ12:$AJ$1048505,$D$4,)=0,"",INDEX(AJ12:$AJ$1048505,$D$4,)),"")</f>
        <v/>
      </c>
      <c r="AS12" s="40" t="str" cm="1">
        <f t="array" ref="AS12">IFERROR(IF(INDEX(AK12:$AK$1048505,$D$4,)=0,"",INDEX(AK12:$AK$1048505,$D$4,)),"")</f>
        <v/>
      </c>
      <c r="AT12" s="40" cm="1">
        <f t="array" ref="AT12">IFERROR(IF(INDEX(AL12:$AL$1048505,$D$4,)=0,"",INDEX(AL12:$AL$1048505,$D$4,)),"")</f>
        <v>1</v>
      </c>
      <c r="AU12" s="40" cm="1">
        <f t="array" ref="AU12">IFERROR(IF(INDEX(AM12:$AM$1048505,$D$4,)=0,"",INDEX(AM12:$AM$1048505,$D$4,)),"")</f>
        <v>1</v>
      </c>
      <c r="AW12" t="str">
        <f t="shared" si="1"/>
        <v>Experience and Environment</v>
      </c>
      <c r="AX12">
        <f>SUMIFS(TableAspect[positive],TableAspect[topic],"="&amp;$AW12,TableAspect[review_time],"&gt;="&amp;$D$7,TableAspect[review_time],"&lt;="&amp;$D$8)</f>
        <v>1</v>
      </c>
      <c r="AY12">
        <f>SUMIFS(TableAspect[neutral],TableAspect[topic],"="&amp;$AW12,TableAspect[review_time],"&gt;="&amp;$D$7,TableAspect[review_time],"&lt;="&amp;$D$8)</f>
        <v>1</v>
      </c>
      <c r="AZ12">
        <f>SUMIFS(TableAspect[negative],TableAspect[topic],"="&amp;$AW12,TableAspect[review_time],"&gt;="&amp;$D$7,TableAspect[review_time],"&lt;="&amp;$D$8)</f>
        <v>6</v>
      </c>
      <c r="BA12">
        <f>IF(SUMIFS(TableAspect[total],TableAspect[topic],"="&amp;$AW12,TableAspect[review_time],"&gt;="&amp;$D$7,TableAspect[review_time],"&lt;="&amp;$D$8)&lt;&gt;0,SUMIFS(TableAspect[total],TableAspect[topic],"="&amp;$AW12,TableAspect[review_time],"&gt;="&amp;$D$7,TableAspect[review_time],"&lt;="&amp;$D$8),"")</f>
        <v>8</v>
      </c>
      <c r="BC12">
        <v>0.25</v>
      </c>
      <c r="BD12" s="13">
        <f t="shared" si="11"/>
        <v>5.5555555555555552E-2</v>
      </c>
      <c r="BE12" s="13">
        <f t="shared" si="12"/>
        <v>5.5555555555555552E-2</v>
      </c>
      <c r="BF12" s="13">
        <f t="shared" si="13"/>
        <v>0.33333333333333331</v>
      </c>
      <c r="BI12" s="25">
        <v>45357</v>
      </c>
      <c r="BJ12" s="17" t="s">
        <v>388</v>
      </c>
      <c r="BK12" s="17">
        <f>COUNTIFS(TableTrend[rating_sum],"="&amp;"")</f>
        <v>0</v>
      </c>
      <c r="BL12" s="31">
        <v>6</v>
      </c>
      <c r="BM12" s="32">
        <f t="shared" si="0"/>
        <v>44901</v>
      </c>
      <c r="BN12" s="31" cm="1">
        <f t="array" ref="BN12">IF(MONTH($D$8)=MONTH(BM12),SUMIFS(TableTrend[positive],TableTrend[review_time],"="&amp;$BM12,TableTrend[topic],"="&amp;INDEX($C$22:$C$28,$D$3)),NA())</f>
        <v>0</v>
      </c>
      <c r="BO12" s="31" cm="1">
        <f t="array" ref="BO12">IF(MONTH($D$8)=MONTH(BM12),SUMIFS(TableTrend[neutral],TableTrend[review_time],"="&amp;$BM12,TableTrend[topic],"="&amp;INDEX($C$22:$C$28,$D$3)),NA())</f>
        <v>0</v>
      </c>
      <c r="BP12" s="31" cm="1">
        <f t="array" ref="BP12">IF(MONTH($D$8)=MONTH(BM12),SUMIFS(TableTrend[negative],TableTrend[review_time],"="&amp;$BM12,TableTrend[topic],"="&amp;INDEX($C$22:$C$28,$D$3)),NA())</f>
        <v>3</v>
      </c>
      <c r="BQ12" s="31" cm="1">
        <f t="array" ref="BQ12">IF(MONTH($D$8)=MONTH(BM12),SUMIFS(TableTrend[total],TableTrend[review_time],"="&amp;$BM12,TableTrend[topic],"="&amp;INDEX($C$22:$C$28,$D$3)),NA())</f>
        <v>3</v>
      </c>
      <c r="BR12" s="31" cm="1">
        <f t="array" ref="BR12">IF($BK$14,IF(MONTH($D$8)=MONTH(BM12),IFERROR(SUMIFS(TableTrend[rating_sum],TableTrend[review_time],"="&amp;$BM12,TableTrend[topic],"="&amp;INDEX($C$22:$C$28,$D$3)) / SUMIFS(TableTrend[rating_count],TableTrend[review_time],"="&amp;$BM12,TableTrend[topic],"="&amp;INDEX($C$22:$C$28,$D$3)),0),NA()),NA())</f>
        <v>2.3333333333333335</v>
      </c>
      <c r="BS12" s="33" t="str">
        <f t="shared" si="2"/>
        <v/>
      </c>
      <c r="BT12" s="33" t="str">
        <f t="shared" si="3"/>
        <v/>
      </c>
      <c r="BU12" s="33">
        <f t="shared" si="4"/>
        <v>1</v>
      </c>
      <c r="BV12" s="26"/>
      <c r="BW12" s="26"/>
      <c r="BX12" s="26"/>
      <c r="BY12" s="26"/>
      <c r="BZ12" s="26"/>
    </row>
    <row r="13" spans="2:83" x14ac:dyDescent="0.3">
      <c r="J13">
        <v>82</v>
      </c>
      <c r="K13" s="7">
        <v>44899</v>
      </c>
      <c r="L13">
        <v>4</v>
      </c>
      <c r="M13" t="str">
        <v>The staff are very kind and the food is usually prepared in a timely manner. The drive thru line can sometimes be an inconvenience as it can get very long and at times block entrances. For this reason, it's one of my preferred places to go to eat.</v>
      </c>
      <c r="N13" t="str">
        <v>● places: positive
● entrances: negative
● drive thru line: negative
● food: positive
● staff: positive</v>
      </c>
      <c r="X13" s="9">
        <v>44901</v>
      </c>
      <c r="Y13" s="9" t="str">
        <v>order</v>
      </c>
      <c r="Z13" s="9"/>
      <c r="AA13" s="9" t="str">
        <v>drive thru line</v>
      </c>
      <c r="AB13" s="8">
        <f>SUMIFS(TableAspect[positive],TableAspect[aspect],"="&amp;AA13,TableAspect[review_time],"&gt;="&amp;$D$7,TableAspect[review_time],"&lt;="&amp;$D$8)</f>
        <v>0</v>
      </c>
      <c r="AC13" s="8">
        <f>SUMIFS(TableAspect[neutral],TableAspect[aspect],"="&amp;AA13,TableAspect[review_time],"&gt;="&amp;$D$7,TableAspect[review_time],"&lt;="&amp;$D$8)</f>
        <v>0</v>
      </c>
      <c r="AD13" s="8">
        <f>SUMIFS(TableAspect[negative],TableAspect[aspect],"="&amp;AA13,TableAspect[review_time],"&gt;="&amp;$D$7,TableAspect[review_time],"&lt;="&amp;$D$8)</f>
        <v>1</v>
      </c>
      <c r="AE13">
        <f>SUMIFS(TableAspect[total],TableAspect[aspect],"="&amp;AA13,TableAspect[review_time],"&gt;="&amp;$D$7,TableAspect[review_time],"&lt;="&amp;$D$8)</f>
        <v>1</v>
      </c>
      <c r="AF13">
        <f>AE13+(COUNTIFS($AE$8:AE13,AE13) - 1) * 0.000000001</f>
        <v>1.000000003</v>
      </c>
      <c r="AH13">
        <f t="shared" si="5"/>
        <v>1</v>
      </c>
      <c r="AI13" t="str">
        <f t="shared" si="6"/>
        <v>heat lamp</v>
      </c>
      <c r="AJ13">
        <f t="shared" si="7"/>
        <v>1</v>
      </c>
      <c r="AK13">
        <f t="shared" si="8"/>
        <v>0</v>
      </c>
      <c r="AL13">
        <f t="shared" si="9"/>
        <v>0</v>
      </c>
      <c r="AM13">
        <f t="shared" si="10"/>
        <v>1</v>
      </c>
      <c r="AQ13" s="39" t="str" cm="1">
        <f t="array" ref="AQ13">IFERROR(IF(INDEX(AI13:$AI$1048505,$D$4,)=0,"",INDEX(AI13:$AI$1048505,$D$4,)),"")</f>
        <v>heat lamp</v>
      </c>
      <c r="AR13" s="40" cm="1">
        <f t="array" ref="AR13">IFERROR(IF(INDEX(AJ13:$AJ$1048505,$D$4,)=0,"",INDEX(AJ13:$AJ$1048505,$D$4,)),"")</f>
        <v>1</v>
      </c>
      <c r="AS13" s="40" t="str" cm="1">
        <f t="array" ref="AS13">IFERROR(IF(INDEX(AK13:$AK$1048505,$D$4,)=0,"",INDEX(AK13:$AK$1048505,$D$4,)),"")</f>
        <v/>
      </c>
      <c r="AT13" s="40" t="str" cm="1">
        <f t="array" ref="AT13">IFERROR(IF(INDEX(AL13:$AL$1048505,$D$4,)=0,"",INDEX(AL13:$AL$1048505,$D$4,)),"")</f>
        <v/>
      </c>
      <c r="AU13" s="40" cm="1">
        <f t="array" ref="AU13">IFERROR(IF(INDEX(AM13:$AM$1048505,$D$4,)=0,"",INDEX(AM13:$AM$1048505,$D$4,)),"")</f>
        <v>1</v>
      </c>
      <c r="AW13" t="str">
        <f t="shared" si="1"/>
        <v>Service and Staff</v>
      </c>
      <c r="AX13">
        <f>SUMIFS(TableAspect[positive],TableAspect[topic],"="&amp;$AW13,TableAspect[review_time],"&gt;="&amp;$D$7,TableAspect[review_time],"&lt;="&amp;$D$8)</f>
        <v>5</v>
      </c>
      <c r="AY13">
        <f>SUMIFS(TableAspect[neutral],TableAspect[topic],"="&amp;$AW13,TableAspect[review_time],"&gt;="&amp;$D$7,TableAspect[review_time],"&lt;="&amp;$D$8)</f>
        <v>0</v>
      </c>
      <c r="AZ13">
        <f>SUMIFS(TableAspect[negative],TableAspect[topic],"="&amp;$AW13,TableAspect[review_time],"&gt;="&amp;$D$7,TableAspect[review_time],"&lt;="&amp;$D$8)</f>
        <v>11</v>
      </c>
      <c r="BA13">
        <f>IF(SUMIFS(TableAspect[total],TableAspect[topic],"="&amp;$AW13,TableAspect[review_time],"&gt;="&amp;$D$7,TableAspect[review_time],"&lt;="&amp;$D$8)&lt;&gt;0,SUMIFS(TableAspect[total],TableAspect[topic],"="&amp;$AW13,TableAspect[review_time],"&gt;="&amp;$D$7,TableAspect[review_time],"&lt;="&amp;$D$8),"")</f>
        <v>16</v>
      </c>
      <c r="BC13">
        <v>0.25</v>
      </c>
      <c r="BD13" s="13">
        <f t="shared" si="11"/>
        <v>0.27777777777777779</v>
      </c>
      <c r="BE13" s="13" t="str">
        <f t="shared" si="12"/>
        <v/>
      </c>
      <c r="BF13" s="13">
        <f t="shared" si="13"/>
        <v>0.61111111111111116</v>
      </c>
      <c r="BI13" s="25">
        <v>45388</v>
      </c>
      <c r="BJ13" s="17" t="s">
        <v>389</v>
      </c>
      <c r="BK13" s="17">
        <f>ROWS(TableTrend[rating_sum])</f>
        <v>66</v>
      </c>
      <c r="BL13" s="31">
        <v>7</v>
      </c>
      <c r="BM13" s="32">
        <f t="shared" si="0"/>
        <v>44902</v>
      </c>
      <c r="BN13" s="31" cm="1">
        <f t="array" ref="BN13">IF(MONTH($D$8)=MONTH(BM13),SUMIFS(TableTrend[positive],TableTrend[review_time],"="&amp;$BM13,TableTrend[topic],"="&amp;INDEX($C$22:$C$28,$D$3)),NA())</f>
        <v>0</v>
      </c>
      <c r="BO13" s="31" cm="1">
        <f t="array" ref="BO13">IF(MONTH($D$8)=MONTH(BM13),SUMIFS(TableTrend[neutral],TableTrend[review_time],"="&amp;$BM13,TableTrend[topic],"="&amp;INDEX($C$22:$C$28,$D$3)),NA())</f>
        <v>0</v>
      </c>
      <c r="BP13" s="31" cm="1">
        <f t="array" ref="BP13">IF(MONTH($D$8)=MONTH(BM13),SUMIFS(TableTrend[negative],TableTrend[review_time],"="&amp;$BM13,TableTrend[topic],"="&amp;INDEX($C$22:$C$28,$D$3)),NA())</f>
        <v>0</v>
      </c>
      <c r="BQ13" s="31" cm="1">
        <f t="array" ref="BQ13">IF(MONTH($D$8)=MONTH(BM13),SUMIFS(TableTrend[total],TableTrend[review_time],"="&amp;$BM13,TableTrend[topic],"="&amp;INDEX($C$22:$C$28,$D$3)),NA())</f>
        <v>0</v>
      </c>
      <c r="BR13" s="31" cm="1">
        <f t="array" ref="BR13">IF($BK$14,IF(MONTH($D$8)=MONTH(BM13),IFERROR(SUMIFS(TableTrend[rating_sum],TableTrend[review_time],"="&amp;$BM13,TableTrend[topic],"="&amp;INDEX($C$22:$C$28,$D$3)) / SUMIFS(TableTrend[rating_count],TableTrend[review_time],"="&amp;$BM13,TableTrend[topic],"="&amp;INDEX($C$22:$C$28,$D$3)),0),NA()),NA())</f>
        <v>0</v>
      </c>
      <c r="BS13" s="33" t="str">
        <f t="shared" si="2"/>
        <v/>
      </c>
      <c r="BT13" s="33" t="str">
        <f t="shared" si="3"/>
        <v/>
      </c>
      <c r="BU13" s="33" t="str">
        <f t="shared" si="4"/>
        <v/>
      </c>
      <c r="BV13" s="26"/>
      <c r="BW13" s="26"/>
      <c r="BX13" s="26"/>
      <c r="BY13" s="26"/>
      <c r="BZ13" s="26"/>
    </row>
    <row r="14" spans="2:83" x14ac:dyDescent="0.3">
      <c r="J14">
        <v>31</v>
      </c>
      <c r="K14" s="7">
        <v>44899</v>
      </c>
      <c r="L14">
        <v>1</v>
      </c>
      <c r="M14" t="str">
        <v>A 20 minute wait in the drive through for a room temperature caramel mocha that was less than 2/3 full. This was exactly what I ordered! It's what I had ordered, and it's exactly where I ordered it to be. It's perfect!</v>
      </c>
      <c r="N14" t="str">
        <v>● wait: negative
● caramel mocha: positive</v>
      </c>
      <c r="X14" s="9">
        <v>44901</v>
      </c>
      <c r="Y14" s="9" t="str">
        <v>wait</v>
      </c>
      <c r="Z14" s="9"/>
      <c r="AA14" s="9" t="str">
        <v/>
      </c>
      <c r="AB14" s="8">
        <f>SUMIFS(TableAspect[positive],TableAspect[aspect],"="&amp;AA14,TableAspect[review_time],"&gt;="&amp;$D$7,TableAspect[review_time],"&lt;="&amp;$D$8)</f>
        <v>0</v>
      </c>
      <c r="AC14" s="8">
        <f>SUMIFS(TableAspect[neutral],TableAspect[aspect],"="&amp;AA14,TableAspect[review_time],"&gt;="&amp;$D$7,TableAspect[review_time],"&lt;="&amp;$D$8)</f>
        <v>0</v>
      </c>
      <c r="AD14" s="8">
        <f>SUMIFS(TableAspect[negative],TableAspect[aspect],"="&amp;AA14,TableAspect[review_time],"&gt;="&amp;$D$7,TableAspect[review_time],"&lt;="&amp;$D$8)</f>
        <v>0</v>
      </c>
      <c r="AE14">
        <f>SUMIFS(TableAspect[total],TableAspect[aspect],"="&amp;AA14,TableAspect[review_time],"&gt;="&amp;$D$7,TableAspect[review_time],"&lt;="&amp;$D$8)</f>
        <v>0</v>
      </c>
      <c r="AF14">
        <f>AE14+(COUNTIFS($AE$8:AE14,AE14) - 1) * 0.000000001</f>
        <v>0</v>
      </c>
      <c r="AH14">
        <f t="shared" si="5"/>
        <v>5.0000000000000001E-9</v>
      </c>
      <c r="AI14">
        <f t="shared" si="6"/>
        <v>0</v>
      </c>
      <c r="AJ14">
        <f t="shared" si="7"/>
        <v>0</v>
      </c>
      <c r="AK14">
        <f t="shared" si="8"/>
        <v>0</v>
      </c>
      <c r="AL14">
        <f t="shared" si="9"/>
        <v>0</v>
      </c>
      <c r="AM14">
        <f t="shared" si="10"/>
        <v>0</v>
      </c>
      <c r="AQ14" s="39" t="str" cm="1">
        <f t="array" ref="AQ14">IFERROR(IF(INDEX(AI14:$AI$1048505,$D$4,)=0,"",INDEX(AI14:$AI$1048505,$D$4,)),"")</f>
        <v/>
      </c>
      <c r="AR14" s="40" t="str" cm="1">
        <f t="array" ref="AR14">IFERROR(IF(INDEX(AJ14:$AJ$1048505,$D$4,)=0,"",INDEX(AJ14:$AJ$1048505,$D$4,)),"")</f>
        <v/>
      </c>
      <c r="AS14" s="40" t="str" cm="1">
        <f t="array" ref="AS14">IFERROR(IF(INDEX(AK14:$AK$1048505,$D$4,)=0,"",INDEX(AK14:$AK$1048505,$D$4,)),"")</f>
        <v/>
      </c>
      <c r="AT14" s="40" t="str" cm="1">
        <f t="array" ref="AT14">IFERROR(IF(INDEX(AL14:$AL$1048505,$D$4,)=0,"",INDEX(AL14:$AL$1048505,$D$4,)),"")</f>
        <v/>
      </c>
      <c r="AU14" s="40" t="str" cm="1">
        <f t="array" ref="AU14">IFERROR(IF(INDEX(AM14:$AM$1048505,$D$4,)=0,"",INDEX(AM14:$AM$1048505,$D$4,)),"")</f>
        <v/>
      </c>
      <c r="AW14" t="str">
        <f t="shared" si="1"/>
        <v>Miscellaneous</v>
      </c>
      <c r="AX14">
        <f>SUMIFS(TableAspect[positive],TableAspect[topic],"="&amp;$AW14,TableAspect[review_time],"&gt;="&amp;$D$7,TableAspect[review_time],"&lt;="&amp;$D$8)</f>
        <v>6</v>
      </c>
      <c r="AY14">
        <f>SUMIFS(TableAspect[neutral],TableAspect[topic],"="&amp;$AW14,TableAspect[review_time],"&gt;="&amp;$D$7,TableAspect[review_time],"&lt;="&amp;$D$8)</f>
        <v>2</v>
      </c>
      <c r="AZ14">
        <f>SUMIFS(TableAspect[negative],TableAspect[topic],"="&amp;$AW14,TableAspect[review_time],"&gt;="&amp;$D$7,TableAspect[review_time],"&lt;="&amp;$D$8)</f>
        <v>13</v>
      </c>
      <c r="BA14">
        <f>IF(SUMIFS(TableAspect[total],TableAspect[topic],"="&amp;$AW14,TableAspect[review_time],"&gt;="&amp;$D$7,TableAspect[review_time],"&lt;="&amp;$D$8)&lt;&gt;0,SUMIFS(TableAspect[total],TableAspect[topic],"="&amp;$AW14,TableAspect[review_time],"&gt;="&amp;$D$7,TableAspect[review_time],"&lt;="&amp;$D$8),"")</f>
        <v>21</v>
      </c>
      <c r="BC14">
        <v>0.25</v>
      </c>
      <c r="BD14" s="13">
        <f t="shared" si="11"/>
        <v>0.33333333333333331</v>
      </c>
      <c r="BE14" s="13">
        <f t="shared" si="12"/>
        <v>0.1111111111111111</v>
      </c>
      <c r="BF14" s="13">
        <f t="shared" si="13"/>
        <v>0.72222222222222221</v>
      </c>
      <c r="BI14" s="25">
        <v>45418</v>
      </c>
      <c r="BJ14" s="30" t="s">
        <v>390</v>
      </c>
      <c r="BK14" s="30">
        <f>IF($BK$12&lt;&gt;$BK$13,1,0)</f>
        <v>1</v>
      </c>
      <c r="BL14" s="31">
        <v>8</v>
      </c>
      <c r="BM14" s="32">
        <f t="shared" si="0"/>
        <v>44903</v>
      </c>
      <c r="BN14" s="31" cm="1">
        <f t="array" ref="BN14">IF(MONTH($D$8)=MONTH(BM14),SUMIFS(TableTrend[positive],TableTrend[review_time],"="&amp;$BM14,TableTrend[topic],"="&amp;INDEX($C$22:$C$28,$D$3)),NA())</f>
        <v>0</v>
      </c>
      <c r="BO14" s="31" cm="1">
        <f t="array" ref="BO14">IF(MONTH($D$8)=MONTH(BM14),SUMIFS(TableTrend[neutral],TableTrend[review_time],"="&amp;$BM14,TableTrend[topic],"="&amp;INDEX($C$22:$C$28,$D$3)),NA())</f>
        <v>0</v>
      </c>
      <c r="BP14" s="31" cm="1">
        <f t="array" ref="BP14">IF(MONTH($D$8)=MONTH(BM14),SUMIFS(TableTrend[negative],TableTrend[review_time],"="&amp;$BM14,TableTrend[topic],"="&amp;INDEX($C$22:$C$28,$D$3)),NA())</f>
        <v>0</v>
      </c>
      <c r="BQ14" s="31" cm="1">
        <f t="array" ref="BQ14">IF(MONTH($D$8)=MONTH(BM14),SUMIFS(TableTrend[total],TableTrend[review_time],"="&amp;$BM14,TableTrend[topic],"="&amp;INDEX($C$22:$C$28,$D$3)),NA())</f>
        <v>0</v>
      </c>
      <c r="BR14" s="31" cm="1">
        <f t="array" ref="BR14">IF($BK$14,IF(MONTH($D$8)=MONTH(BM14),IFERROR(SUMIFS(TableTrend[rating_sum],TableTrend[review_time],"="&amp;$BM14,TableTrend[topic],"="&amp;INDEX($C$22:$C$28,$D$3)) / SUMIFS(TableTrend[rating_count],TableTrend[review_time],"="&amp;$BM14,TableTrend[topic],"="&amp;INDEX($C$22:$C$28,$D$3)),0),NA()),NA())</f>
        <v>0</v>
      </c>
      <c r="BS14" s="33" t="str">
        <f t="shared" si="2"/>
        <v/>
      </c>
      <c r="BT14" s="33" t="str">
        <f t="shared" si="3"/>
        <v/>
      </c>
      <c r="BU14" s="33" t="str">
        <f t="shared" si="4"/>
        <v/>
      </c>
      <c r="BV14" s="26"/>
      <c r="BW14" s="26"/>
      <c r="BX14" s="26"/>
      <c r="BY14" s="26"/>
      <c r="BZ14" s="26"/>
    </row>
    <row r="15" spans="2:83" x14ac:dyDescent="0.3">
      <c r="J15">
        <v>63</v>
      </c>
      <c r="K15" s="7">
        <v>44899</v>
      </c>
      <c r="L15">
        <v>2</v>
      </c>
      <c r="M15" t="str">
        <v>The young lady at the drive thru kept having issues getting the order correctly. After I received the fries, the manager dismissed me with a condescending disappointment in the situation. I didn't realize my receipt was in the bag to confirm my order; found it and gave it to the second lady.</v>
      </c>
      <c r="N15" t="str">
        <v>● manager: negative
● fries: neutral
● order: negative</v>
      </c>
      <c r="X15" s="9">
        <v>44901</v>
      </c>
      <c r="Y15" s="9" t="str">
        <v>drive thru line</v>
      </c>
      <c r="Z15" s="9"/>
      <c r="AA15" s="9"/>
      <c r="AB15" s="8">
        <f>SUMIFS(TableAspect[positive],TableAspect[aspect],"="&amp;AA15,TableAspect[review_time],"&gt;="&amp;$D$7,TableAspect[review_time],"&lt;="&amp;$D$8)</f>
        <v>0</v>
      </c>
      <c r="AC15" s="8">
        <f>SUMIFS(TableAspect[neutral],TableAspect[aspect],"="&amp;AA15,TableAspect[review_time],"&gt;="&amp;$D$7,TableAspect[review_time],"&lt;="&amp;$D$8)</f>
        <v>0</v>
      </c>
      <c r="AD15" s="8">
        <f>SUMIFS(TableAspect[negative],TableAspect[aspect],"="&amp;AA15,TableAspect[review_time],"&gt;="&amp;$D$7,TableAspect[review_time],"&lt;="&amp;$D$8)</f>
        <v>0</v>
      </c>
      <c r="AE15">
        <f>SUMIFS(TableAspect[total],TableAspect[aspect],"="&amp;AA15,TableAspect[review_time],"&gt;="&amp;$D$7,TableAspect[review_time],"&lt;="&amp;$D$8)</f>
        <v>0</v>
      </c>
      <c r="AF15">
        <f>AE15+(COUNTIFS($AE$8:AE15,AE15) - 1) * 0.000000001</f>
        <v>1.0000000000000001E-9</v>
      </c>
      <c r="AH15">
        <f t="shared" si="5"/>
        <v>4.0000000000000002E-9</v>
      </c>
      <c r="AI15">
        <f t="shared" si="6"/>
        <v>0</v>
      </c>
      <c r="AJ15">
        <f t="shared" si="7"/>
        <v>0</v>
      </c>
      <c r="AK15">
        <f t="shared" si="8"/>
        <v>0</v>
      </c>
      <c r="AL15">
        <f t="shared" si="9"/>
        <v>0</v>
      </c>
      <c r="AM15">
        <f t="shared" si="10"/>
        <v>0</v>
      </c>
      <c r="AQ15" s="39" t="str" cm="1">
        <f t="array" ref="AQ15">IFERROR(IF(INDEX(AI15:$AI$1048505,$D$4,)=0,"",INDEX(AI15:$AI$1048505,$D$4,)),"")</f>
        <v/>
      </c>
      <c r="AR15" s="40" t="str" cm="1">
        <f t="array" ref="AR15">IFERROR(IF(INDEX(AJ15:$AJ$1048505,$D$4,)=0,"",INDEX(AJ15:$AJ$1048505,$D$4,)),"")</f>
        <v/>
      </c>
      <c r="AS15" s="40" t="str" cm="1">
        <f t="array" ref="AS15">IFERROR(IF(INDEX(AK15:$AK$1048505,$D$4,)=0,"",INDEX(AK15:$AK$1048505,$D$4,)),"")</f>
        <v/>
      </c>
      <c r="AT15" s="40" t="str" cm="1">
        <f t="array" ref="AT15">IFERROR(IF(INDEX(AL15:$AL$1048505,$D$4,)=0,"",INDEX(AL15:$AL$1048505,$D$4,)),"")</f>
        <v/>
      </c>
      <c r="AU15" s="40" t="str" cm="1">
        <f t="array" ref="AU15">IFERROR(IF(INDEX(AM15:$AM$1048505,$D$4,)=0,"",INDEX(AM15:$AM$1048505,$D$4,)),"")</f>
        <v/>
      </c>
      <c r="BI15" s="25">
        <v>45449</v>
      </c>
      <c r="BJ15" s="17" t="s">
        <v>391</v>
      </c>
      <c r="BK15" s="17" t="str">
        <f>"Trend Sentiment  "&amp;CHOOSE($D$11,"","and Rating")</f>
        <v xml:space="preserve">Trend Sentiment  </v>
      </c>
      <c r="BL15" s="31">
        <v>9</v>
      </c>
      <c r="BM15" s="32">
        <f t="shared" si="0"/>
        <v>44904</v>
      </c>
      <c r="BN15" s="31" cm="1">
        <f t="array" ref="BN15">IF(MONTH($D$8)=MONTH(BM15),SUMIFS(TableTrend[positive],TableTrend[review_time],"="&amp;$BM15,TableTrend[topic],"="&amp;INDEX($C$22:$C$28,$D$3)),NA())</f>
        <v>0</v>
      </c>
      <c r="BO15" s="31" cm="1">
        <f t="array" ref="BO15">IF(MONTH($D$8)=MONTH(BM15),SUMIFS(TableTrend[neutral],TableTrend[review_time],"="&amp;$BM15,TableTrend[topic],"="&amp;INDEX($C$22:$C$28,$D$3)),NA())</f>
        <v>0</v>
      </c>
      <c r="BP15" s="31" cm="1">
        <f t="array" ref="BP15">IF(MONTH($D$8)=MONTH(BM15),SUMIFS(TableTrend[negative],TableTrend[review_time],"="&amp;$BM15,TableTrend[topic],"="&amp;INDEX($C$22:$C$28,$D$3)),NA())</f>
        <v>0</v>
      </c>
      <c r="BQ15" s="31" cm="1">
        <f t="array" ref="BQ15">IF(MONTH($D$8)=MONTH(BM15),SUMIFS(TableTrend[total],TableTrend[review_time],"="&amp;$BM15,TableTrend[topic],"="&amp;INDEX($C$22:$C$28,$D$3)),NA())</f>
        <v>0</v>
      </c>
      <c r="BR15" s="31" cm="1">
        <f t="array" ref="BR15">IF($BK$14,IF(MONTH($D$8)=MONTH(BM15),IFERROR(SUMIFS(TableTrend[rating_sum],TableTrend[review_time],"="&amp;$BM15,TableTrend[topic],"="&amp;INDEX($C$22:$C$28,$D$3)) / SUMIFS(TableTrend[rating_count],TableTrend[review_time],"="&amp;$BM15,TableTrend[topic],"="&amp;INDEX($C$22:$C$28,$D$3)),0),NA()),NA())</f>
        <v>0</v>
      </c>
      <c r="BS15" s="33" t="str">
        <f t="shared" si="2"/>
        <v/>
      </c>
      <c r="BT15" s="33" t="str">
        <f t="shared" si="3"/>
        <v/>
      </c>
      <c r="BU15" s="33" t="str">
        <f t="shared" si="4"/>
        <v/>
      </c>
      <c r="BV15" s="26"/>
      <c r="BW15" s="26"/>
      <c r="BX15" s="26"/>
      <c r="BY15" s="26"/>
      <c r="BZ15" s="26"/>
    </row>
    <row r="16" spans="2:83" x14ac:dyDescent="0.3">
      <c r="K16" s="7"/>
      <c r="X16" s="9"/>
      <c r="Y16" s="9"/>
      <c r="Z16" s="9"/>
      <c r="AA16" s="9"/>
      <c r="AB16" s="8">
        <f>SUMIFS(TableAspect[positive],TableAspect[aspect],"="&amp;AA16,TableAspect[review_time],"&gt;="&amp;$D$7,TableAspect[review_time],"&lt;="&amp;$D$8)</f>
        <v>0</v>
      </c>
      <c r="AC16" s="8">
        <f>SUMIFS(TableAspect[neutral],TableAspect[aspect],"="&amp;AA16,TableAspect[review_time],"&gt;="&amp;$D$7,TableAspect[review_time],"&lt;="&amp;$D$8)</f>
        <v>0</v>
      </c>
      <c r="AD16" s="8">
        <f>SUMIFS(TableAspect[negative],TableAspect[aspect],"="&amp;AA16,TableAspect[review_time],"&gt;="&amp;$D$7,TableAspect[review_time],"&lt;="&amp;$D$8)</f>
        <v>0</v>
      </c>
      <c r="AE16">
        <f>SUMIFS(TableAspect[total],TableAspect[aspect],"="&amp;AA16,TableAspect[review_time],"&gt;="&amp;$D$7,TableAspect[review_time],"&lt;="&amp;$D$8)</f>
        <v>0</v>
      </c>
      <c r="AF16">
        <f>AE16+(COUNTIFS($AE$8:AE16,AE16) - 1) * 0.000000001</f>
        <v>2.0000000000000001E-9</v>
      </c>
      <c r="AH16">
        <f t="shared" si="5"/>
        <v>3.0000000000000004E-9</v>
      </c>
      <c r="AI16">
        <f t="shared" si="6"/>
        <v>0</v>
      </c>
      <c r="AJ16">
        <f t="shared" si="7"/>
        <v>0</v>
      </c>
      <c r="AK16">
        <f t="shared" si="8"/>
        <v>0</v>
      </c>
      <c r="AL16">
        <f t="shared" si="9"/>
        <v>0</v>
      </c>
      <c r="AM16">
        <f t="shared" si="10"/>
        <v>0</v>
      </c>
      <c r="AQ16" s="39" t="str" cm="1">
        <f t="array" ref="AQ16">IFERROR(IF(INDEX(AI16:$AI$1048505,$D$4,)=0,"",INDEX(AI16:$AI$1048505,$D$4,)),"")</f>
        <v/>
      </c>
      <c r="AR16" s="40" t="str" cm="1">
        <f t="array" ref="AR16">IFERROR(IF(INDEX(AJ16:$AJ$1048505,$D$4,)=0,"",INDEX(AJ16:$AJ$1048505,$D$4,)),"")</f>
        <v/>
      </c>
      <c r="AS16" s="40" t="str" cm="1">
        <f t="array" ref="AS16">IFERROR(IF(INDEX(AK16:$AK$1048505,$D$4,)=0,"",INDEX(AK16:$AK$1048505,$D$4,)),"")</f>
        <v/>
      </c>
      <c r="AT16" s="40" t="str" cm="1">
        <f t="array" ref="AT16">IFERROR(IF(INDEX(AL16:$AL$1048505,$D$4,)=0,"",INDEX(AL16:$AL$1048505,$D$4,)),"")</f>
        <v/>
      </c>
      <c r="AU16" s="40" t="str" cm="1">
        <f t="array" ref="AU16">IFERROR(IF(INDEX(AM16:$AM$1048505,$D$4,)=0,"",INDEX(AM16:$AM$1048505,$D$4,)),"")</f>
        <v/>
      </c>
      <c r="BI16" s="25">
        <v>45479</v>
      </c>
      <c r="BL16" s="31">
        <v>10</v>
      </c>
      <c r="BM16" s="32">
        <f t="shared" si="0"/>
        <v>44905</v>
      </c>
      <c r="BN16" s="31" cm="1">
        <f t="array" ref="BN16">IF(MONTH($D$8)=MONTH(BM16),SUMIFS(TableTrend[positive],TableTrend[review_time],"="&amp;$BM16,TableTrend[topic],"="&amp;INDEX($C$22:$C$28,$D$3)),NA())</f>
        <v>0</v>
      </c>
      <c r="BO16" s="31" cm="1">
        <f t="array" ref="BO16">IF(MONTH($D$8)=MONTH(BM16),SUMIFS(TableTrend[neutral],TableTrend[review_time],"="&amp;$BM16,TableTrend[topic],"="&amp;INDEX($C$22:$C$28,$D$3)),NA())</f>
        <v>0</v>
      </c>
      <c r="BP16" s="31" cm="1">
        <f t="array" ref="BP16">IF(MONTH($D$8)=MONTH(BM16),SUMIFS(TableTrend[negative],TableTrend[review_time],"="&amp;$BM16,TableTrend[topic],"="&amp;INDEX($C$22:$C$28,$D$3)),NA())</f>
        <v>0</v>
      </c>
      <c r="BQ16" s="31" cm="1">
        <f t="array" ref="BQ16">IF(MONTH($D$8)=MONTH(BM16),SUMIFS(TableTrend[total],TableTrend[review_time],"="&amp;$BM16,TableTrend[topic],"="&amp;INDEX($C$22:$C$28,$D$3)),NA())</f>
        <v>0</v>
      </c>
      <c r="BR16" s="31" cm="1">
        <f t="array" ref="BR16">IF($BK$14,IF(MONTH($D$8)=MONTH(BM16),IFERROR(SUMIFS(TableTrend[rating_sum],TableTrend[review_time],"="&amp;$BM16,TableTrend[topic],"="&amp;INDEX($C$22:$C$28,$D$3)) / SUMIFS(TableTrend[rating_count],TableTrend[review_time],"="&amp;$BM16,TableTrend[topic],"="&amp;INDEX($C$22:$C$28,$D$3)),0),NA()),NA())</f>
        <v>0</v>
      </c>
      <c r="BS16" s="33" t="str">
        <f t="shared" si="2"/>
        <v/>
      </c>
      <c r="BT16" s="33" t="str">
        <f t="shared" si="3"/>
        <v/>
      </c>
      <c r="BU16" s="33" t="str">
        <f t="shared" si="4"/>
        <v/>
      </c>
      <c r="BV16" s="26"/>
      <c r="BW16" s="26"/>
      <c r="BX16" s="26"/>
      <c r="BY16" s="26"/>
      <c r="BZ16" s="26"/>
    </row>
    <row r="17" spans="2:78" x14ac:dyDescent="0.3">
      <c r="K17" s="7"/>
      <c r="X17" s="9"/>
      <c r="Y17" s="9"/>
      <c r="Z17" s="9"/>
      <c r="AA17" s="9"/>
      <c r="AB17" s="8">
        <f>SUMIFS(TableAspect[positive],TableAspect[aspect],"="&amp;AA17,TableAspect[review_time],"&gt;="&amp;$D$7,TableAspect[review_time],"&lt;="&amp;$D$8)</f>
        <v>0</v>
      </c>
      <c r="AC17" s="8">
        <f>SUMIFS(TableAspect[neutral],TableAspect[aspect],"="&amp;AA17,TableAspect[review_time],"&gt;="&amp;$D$7,TableAspect[review_time],"&lt;="&amp;$D$8)</f>
        <v>0</v>
      </c>
      <c r="AD17" s="8">
        <f>SUMIFS(TableAspect[negative],TableAspect[aspect],"="&amp;AA17,TableAspect[review_time],"&gt;="&amp;$D$7,TableAspect[review_time],"&lt;="&amp;$D$8)</f>
        <v>0</v>
      </c>
      <c r="AE17">
        <f>SUMIFS(TableAspect[total],TableAspect[aspect],"="&amp;AA17,TableAspect[review_time],"&gt;="&amp;$D$7,TableAspect[review_time],"&lt;="&amp;$D$8)</f>
        <v>0</v>
      </c>
      <c r="AF17">
        <f>AE17+(COUNTIFS($AE$8:AE17,AE17) - 1) * 0.000000001</f>
        <v>3.0000000000000004E-9</v>
      </c>
      <c r="AH17">
        <f t="shared" si="5"/>
        <v>2.0000000000000001E-9</v>
      </c>
      <c r="AI17">
        <f t="shared" si="6"/>
        <v>0</v>
      </c>
      <c r="AJ17">
        <f t="shared" si="7"/>
        <v>0</v>
      </c>
      <c r="AK17">
        <f t="shared" si="8"/>
        <v>0</v>
      </c>
      <c r="AL17">
        <f t="shared" si="9"/>
        <v>0</v>
      </c>
      <c r="AM17">
        <f t="shared" si="10"/>
        <v>0</v>
      </c>
      <c r="AQ17" s="39" t="str" cm="1">
        <f t="array" ref="AQ17">IFERROR(IF(INDEX(AI17:$AI$1048505,$D$4,)=0,"",INDEX(AI17:$AI$1048505,$D$4,)),"")</f>
        <v/>
      </c>
      <c r="AR17" s="40" t="str" cm="1">
        <f t="array" ref="AR17">IFERROR(IF(INDEX(AJ17:$AJ$1048505,$D$4,)=0,"",INDEX(AJ17:$AJ$1048505,$D$4,)),"")</f>
        <v/>
      </c>
      <c r="AS17" s="40" t="str" cm="1">
        <f t="array" ref="AS17">IFERROR(IF(INDEX(AK17:$AK$1048505,$D$4,)=0,"",INDEX(AK17:$AK$1048505,$D$4,)),"")</f>
        <v/>
      </c>
      <c r="AT17" s="40" t="str" cm="1">
        <f t="array" ref="AT17">IFERROR(IF(INDEX(AL17:$AL$1048505,$D$4,)=0,"",INDEX(AL17:$AL$1048505,$D$4,)),"")</f>
        <v/>
      </c>
      <c r="AU17" s="40" t="str" cm="1">
        <f t="array" ref="AU17">IFERROR(IF(INDEX(AM17:$AM$1048505,$D$4,)=0,"",INDEX(AM17:$AM$1048505,$D$4,)),"")</f>
        <v/>
      </c>
      <c r="BI17" s="25">
        <v>45510</v>
      </c>
      <c r="BL17" s="31">
        <v>11</v>
      </c>
      <c r="BM17" s="32">
        <f t="shared" si="0"/>
        <v>44906</v>
      </c>
      <c r="BN17" s="31" cm="1">
        <f t="array" ref="BN17">IF(MONTH($D$8)=MONTH(BM17),SUMIFS(TableTrend[positive],TableTrend[review_time],"="&amp;$BM17,TableTrend[topic],"="&amp;INDEX($C$22:$C$28,$D$3)),NA())</f>
        <v>0</v>
      </c>
      <c r="BO17" s="31" cm="1">
        <f t="array" ref="BO17">IF(MONTH($D$8)=MONTH(BM17),SUMIFS(TableTrend[neutral],TableTrend[review_time],"="&amp;$BM17,TableTrend[topic],"="&amp;INDEX($C$22:$C$28,$D$3)),NA())</f>
        <v>0</v>
      </c>
      <c r="BP17" s="31" cm="1">
        <f t="array" ref="BP17">IF(MONTH($D$8)=MONTH(BM17),SUMIFS(TableTrend[negative],TableTrend[review_time],"="&amp;$BM17,TableTrend[topic],"="&amp;INDEX($C$22:$C$28,$D$3)),NA())</f>
        <v>0</v>
      </c>
      <c r="BQ17" s="31" cm="1">
        <f t="array" ref="BQ17">IF(MONTH($D$8)=MONTH(BM17),SUMIFS(TableTrend[total],TableTrend[review_time],"="&amp;$BM17,TableTrend[topic],"="&amp;INDEX($C$22:$C$28,$D$3)),NA())</f>
        <v>0</v>
      </c>
      <c r="BR17" s="31" cm="1">
        <f t="array" ref="BR17">IF($BK$14,IF(MONTH($D$8)=MONTH(BM17),IFERROR(SUMIFS(TableTrend[rating_sum],TableTrend[review_time],"="&amp;$BM17,TableTrend[topic],"="&amp;INDEX($C$22:$C$28,$D$3)) / SUMIFS(TableTrend[rating_count],TableTrend[review_time],"="&amp;$BM17,TableTrend[topic],"="&amp;INDEX($C$22:$C$28,$D$3)),0),NA()),NA())</f>
        <v>0</v>
      </c>
      <c r="BS17" s="33" t="str">
        <f t="shared" si="2"/>
        <v/>
      </c>
      <c r="BT17" s="33" t="str">
        <f t="shared" si="3"/>
        <v/>
      </c>
      <c r="BU17" s="33" t="str">
        <f t="shared" si="4"/>
        <v/>
      </c>
      <c r="BV17" s="26"/>
      <c r="BW17" s="26"/>
      <c r="BX17" s="26"/>
      <c r="BY17" s="26"/>
      <c r="BZ17" s="26"/>
    </row>
    <row r="18" spans="2:78" x14ac:dyDescent="0.3">
      <c r="K18" s="7"/>
      <c r="X18" s="9"/>
      <c r="Y18" s="9"/>
      <c r="Z18" s="9"/>
      <c r="AA18" s="9"/>
      <c r="AB18" s="8">
        <f>SUMIFS(TableAspect[positive],TableAspect[aspect],"="&amp;AA18,TableAspect[review_time],"&gt;="&amp;$D$7,TableAspect[review_time],"&lt;="&amp;$D$8)</f>
        <v>0</v>
      </c>
      <c r="AC18" s="8">
        <f>SUMIFS(TableAspect[neutral],TableAspect[aspect],"="&amp;AA18,TableAspect[review_time],"&gt;="&amp;$D$7,TableAspect[review_time],"&lt;="&amp;$D$8)</f>
        <v>0</v>
      </c>
      <c r="AD18" s="8">
        <f>SUMIFS(TableAspect[negative],TableAspect[aspect],"="&amp;AA18,TableAspect[review_time],"&gt;="&amp;$D$7,TableAspect[review_time],"&lt;="&amp;$D$8)</f>
        <v>0</v>
      </c>
      <c r="AE18">
        <f>SUMIFS(TableAspect[total],TableAspect[aspect],"="&amp;AA18,TableAspect[review_time],"&gt;="&amp;$D$7,TableAspect[review_time],"&lt;="&amp;$D$8)</f>
        <v>0</v>
      </c>
      <c r="AF18">
        <f>AE18+(COUNTIFS($AE$8:AE18,AE18) - 1) * 0.000000001</f>
        <v>4.0000000000000002E-9</v>
      </c>
      <c r="AH18">
        <f t="shared" si="5"/>
        <v>1.0000000000000001E-9</v>
      </c>
      <c r="AI18">
        <f t="shared" si="6"/>
        <v>0</v>
      </c>
      <c r="AJ18">
        <f t="shared" si="7"/>
        <v>0</v>
      </c>
      <c r="AK18">
        <f t="shared" si="8"/>
        <v>0</v>
      </c>
      <c r="AL18">
        <f t="shared" si="9"/>
        <v>0</v>
      </c>
      <c r="AM18">
        <f t="shared" si="10"/>
        <v>0</v>
      </c>
      <c r="AR18" s="22"/>
      <c r="BI18" s="25">
        <v>45541</v>
      </c>
      <c r="BL18" s="31">
        <v>12</v>
      </c>
      <c r="BM18" s="32">
        <f t="shared" si="0"/>
        <v>44907</v>
      </c>
      <c r="BN18" s="31" cm="1">
        <f t="array" ref="BN18">IF(MONTH($D$8)=MONTH(BM18),SUMIFS(TableTrend[positive],TableTrend[review_time],"="&amp;$BM18,TableTrend[topic],"="&amp;INDEX($C$22:$C$28,$D$3)),NA())</f>
        <v>0</v>
      </c>
      <c r="BO18" s="31" cm="1">
        <f t="array" ref="BO18">IF(MONTH($D$8)=MONTH(BM18),SUMIFS(TableTrend[neutral],TableTrend[review_time],"="&amp;$BM18,TableTrend[topic],"="&amp;INDEX($C$22:$C$28,$D$3)),NA())</f>
        <v>0</v>
      </c>
      <c r="BP18" s="31" cm="1">
        <f t="array" ref="BP18">IF(MONTH($D$8)=MONTH(BM18),SUMIFS(TableTrend[negative],TableTrend[review_time],"="&amp;$BM18,TableTrend[topic],"="&amp;INDEX($C$22:$C$28,$D$3)),NA())</f>
        <v>0</v>
      </c>
      <c r="BQ18" s="31" cm="1">
        <f t="array" ref="BQ18">IF(MONTH($D$8)=MONTH(BM18),SUMIFS(TableTrend[total],TableTrend[review_time],"="&amp;$BM18,TableTrend[topic],"="&amp;INDEX($C$22:$C$28,$D$3)),NA())</f>
        <v>0</v>
      </c>
      <c r="BR18" s="31" cm="1">
        <f t="array" ref="BR18">IF($BK$14,IF(MONTH($D$8)=MONTH(BM18),IFERROR(SUMIFS(TableTrend[rating_sum],TableTrend[review_time],"="&amp;$BM18,TableTrend[topic],"="&amp;INDEX($C$22:$C$28,$D$3)) / SUMIFS(TableTrend[rating_count],TableTrend[review_time],"="&amp;$BM18,TableTrend[topic],"="&amp;INDEX($C$22:$C$28,$D$3)),0),NA()),NA())</f>
        <v>0</v>
      </c>
      <c r="BS18" s="33" t="str">
        <f t="shared" si="2"/>
        <v/>
      </c>
      <c r="BT18" s="33" t="str">
        <f t="shared" si="3"/>
        <v/>
      </c>
      <c r="BU18" s="33" t="str">
        <f t="shared" si="4"/>
        <v/>
      </c>
      <c r="BV18" s="26"/>
      <c r="BW18" s="26"/>
      <c r="BX18" s="26"/>
      <c r="BY18" s="26"/>
      <c r="BZ18" s="26"/>
    </row>
    <row r="19" spans="2:78" x14ac:dyDescent="0.3">
      <c r="B19" s="3" t="s">
        <v>205</v>
      </c>
      <c r="C19" s="4"/>
      <c r="D19" s="4"/>
      <c r="E19" s="4"/>
      <c r="K19" s="7"/>
      <c r="X19" s="9"/>
      <c r="Y19" s="9"/>
      <c r="Z19" s="9"/>
      <c r="AA19" s="9"/>
      <c r="AB19" s="8">
        <f>SUMIFS(TableAspect[positive],TableAspect[aspect],"="&amp;AA19,TableAspect[review_time],"&gt;="&amp;$D$7,TableAspect[review_time],"&lt;="&amp;$D$8)</f>
        <v>0</v>
      </c>
      <c r="AC19" s="8">
        <f>SUMIFS(TableAspect[neutral],TableAspect[aspect],"="&amp;AA19,TableAspect[review_time],"&gt;="&amp;$D$7,TableAspect[review_time],"&lt;="&amp;$D$8)</f>
        <v>0</v>
      </c>
      <c r="AD19" s="8">
        <f>SUMIFS(TableAspect[negative],TableAspect[aspect],"="&amp;AA19,TableAspect[review_time],"&gt;="&amp;$D$7,TableAspect[review_time],"&lt;="&amp;$D$8)</f>
        <v>0</v>
      </c>
      <c r="AE19">
        <f>SUMIFS(TableAspect[total],TableAspect[aspect],"="&amp;AA19,TableAspect[review_time],"&gt;="&amp;$D$7,TableAspect[review_time],"&lt;="&amp;$D$8)</f>
        <v>0</v>
      </c>
      <c r="AF19">
        <f>AE19+(COUNTIFS($AE$8:AE19,AE19) - 1) * 0.000000001</f>
        <v>5.0000000000000001E-9</v>
      </c>
      <c r="AH19">
        <f t="shared" si="5"/>
        <v>0</v>
      </c>
      <c r="AI19" t="str">
        <f t="shared" si="6"/>
        <v/>
      </c>
      <c r="AJ19">
        <f t="shared" si="7"/>
        <v>0</v>
      </c>
      <c r="AK19">
        <f t="shared" si="8"/>
        <v>0</v>
      </c>
      <c r="AL19">
        <f t="shared" si="9"/>
        <v>0</v>
      </c>
      <c r="AM19">
        <f t="shared" si="10"/>
        <v>0</v>
      </c>
      <c r="BI19" s="25">
        <v>45571</v>
      </c>
      <c r="BL19" s="31">
        <v>13</v>
      </c>
      <c r="BM19" s="32">
        <f t="shared" si="0"/>
        <v>44908</v>
      </c>
      <c r="BN19" s="31" cm="1">
        <f t="array" ref="BN19">IF(MONTH($D$8)=MONTH(BM19),SUMIFS(TableTrend[positive],TableTrend[review_time],"="&amp;$BM19,TableTrend[topic],"="&amp;INDEX($C$22:$C$28,$D$3)),NA())</f>
        <v>0</v>
      </c>
      <c r="BO19" s="31" cm="1">
        <f t="array" ref="BO19">IF(MONTH($D$8)=MONTH(BM19),SUMIFS(TableTrend[neutral],TableTrend[review_time],"="&amp;$BM19,TableTrend[topic],"="&amp;INDEX($C$22:$C$28,$D$3)),NA())</f>
        <v>0</v>
      </c>
      <c r="BP19" s="31" cm="1">
        <f t="array" ref="BP19">IF(MONTH($D$8)=MONTH(BM19),SUMIFS(TableTrend[negative],TableTrend[review_time],"="&amp;$BM19,TableTrend[topic],"="&amp;INDEX($C$22:$C$28,$D$3)),NA())</f>
        <v>0</v>
      </c>
      <c r="BQ19" s="31" cm="1">
        <f t="array" ref="BQ19">IF(MONTH($D$8)=MONTH(BM19),SUMIFS(TableTrend[total],TableTrend[review_time],"="&amp;$BM19,TableTrend[topic],"="&amp;INDEX($C$22:$C$28,$D$3)),NA())</f>
        <v>0</v>
      </c>
      <c r="BR19" s="31" cm="1">
        <f t="array" ref="BR19">IF($BK$14,IF(MONTH($D$8)=MONTH(BM19),IFERROR(SUMIFS(TableTrend[rating_sum],TableTrend[review_time],"="&amp;$BM19,TableTrend[topic],"="&amp;INDEX($C$22:$C$28,$D$3)) / SUMIFS(TableTrend[rating_count],TableTrend[review_time],"="&amp;$BM19,TableTrend[topic],"="&amp;INDEX($C$22:$C$28,$D$3)),0),NA()),NA())</f>
        <v>0</v>
      </c>
      <c r="BS19" s="33" t="str">
        <f t="shared" si="2"/>
        <v/>
      </c>
      <c r="BT19" s="33" t="str">
        <f t="shared" si="3"/>
        <v/>
      </c>
      <c r="BU19" s="33" t="str">
        <f t="shared" si="4"/>
        <v/>
      </c>
      <c r="BV19" s="26"/>
      <c r="BW19" s="26"/>
      <c r="BX19" s="26"/>
      <c r="BY19" s="26"/>
      <c r="BZ19" s="26"/>
    </row>
    <row r="20" spans="2:78" x14ac:dyDescent="0.3">
      <c r="K20" s="7"/>
      <c r="X20" s="9"/>
      <c r="Y20" s="9"/>
      <c r="Z20" s="9"/>
      <c r="AA20" s="9"/>
      <c r="AB20" s="8"/>
      <c r="AC20" s="8"/>
      <c r="AD20" s="8"/>
      <c r="AH20" t="e">
        <f t="shared" si="5"/>
        <v>#NUM!</v>
      </c>
      <c r="AI20" t="e">
        <f t="shared" si="6"/>
        <v>#NUM!</v>
      </c>
      <c r="AJ20" t="e">
        <f t="shared" si="7"/>
        <v>#NUM!</v>
      </c>
      <c r="AK20" t="e">
        <f t="shared" si="8"/>
        <v>#NUM!</v>
      </c>
      <c r="AL20" t="e">
        <f t="shared" si="9"/>
        <v>#NUM!</v>
      </c>
      <c r="AM20" t="e">
        <f t="shared" si="10"/>
        <v>#NUM!</v>
      </c>
      <c r="BI20" s="25">
        <v>45602</v>
      </c>
      <c r="BL20" s="31">
        <v>14</v>
      </c>
      <c r="BM20" s="32">
        <f t="shared" si="0"/>
        <v>44909</v>
      </c>
      <c r="BN20" s="31" cm="1">
        <f t="array" ref="BN20">IF(MONTH($D$8)=MONTH(BM20),SUMIFS(TableTrend[positive],TableTrend[review_time],"="&amp;$BM20,TableTrend[topic],"="&amp;INDEX($C$22:$C$28,$D$3)),NA())</f>
        <v>0</v>
      </c>
      <c r="BO20" s="31" cm="1">
        <f t="array" ref="BO20">IF(MONTH($D$8)=MONTH(BM20),SUMIFS(TableTrend[neutral],TableTrend[review_time],"="&amp;$BM20,TableTrend[topic],"="&amp;INDEX($C$22:$C$28,$D$3)),NA())</f>
        <v>0</v>
      </c>
      <c r="BP20" s="31" cm="1">
        <f t="array" ref="BP20">IF(MONTH($D$8)=MONTH(BM20),SUMIFS(TableTrend[negative],TableTrend[review_time],"="&amp;$BM20,TableTrend[topic],"="&amp;INDEX($C$22:$C$28,$D$3)),NA())</f>
        <v>0</v>
      </c>
      <c r="BQ20" s="31" cm="1">
        <f t="array" ref="BQ20">IF(MONTH($D$8)=MONTH(BM20),SUMIFS(TableTrend[total],TableTrend[review_time],"="&amp;$BM20,TableTrend[topic],"="&amp;INDEX($C$22:$C$28,$D$3)),NA())</f>
        <v>0</v>
      </c>
      <c r="BR20" s="31" cm="1">
        <f t="array" ref="BR20">IF($BK$14,IF(MONTH($D$8)=MONTH(BM20),IFERROR(SUMIFS(TableTrend[rating_sum],TableTrend[review_time],"="&amp;$BM20,TableTrend[topic],"="&amp;INDEX($C$22:$C$28,$D$3)) / SUMIFS(TableTrend[rating_count],TableTrend[review_time],"="&amp;$BM20,TableTrend[topic],"="&amp;INDEX($C$22:$C$28,$D$3)),0),NA()),NA())</f>
        <v>0</v>
      </c>
      <c r="BS20" s="33" t="str">
        <f t="shared" si="2"/>
        <v/>
      </c>
      <c r="BT20" s="33" t="str">
        <f t="shared" si="3"/>
        <v/>
      </c>
      <c r="BU20" s="33" t="str">
        <f t="shared" si="4"/>
        <v/>
      </c>
      <c r="BV20" s="26"/>
      <c r="BW20" s="26"/>
      <c r="BX20" s="26"/>
      <c r="BY20" s="26"/>
      <c r="BZ20" s="26"/>
    </row>
    <row r="21" spans="2:78" x14ac:dyDescent="0.3">
      <c r="B21" s="5" t="s">
        <v>206</v>
      </c>
      <c r="C21" s="5" t="s">
        <v>1</v>
      </c>
      <c r="D21" s="5"/>
      <c r="E21" s="5" t="s">
        <v>387</v>
      </c>
      <c r="F21" s="5"/>
      <c r="G21" s="5"/>
      <c r="K21" s="7"/>
      <c r="X21" s="9"/>
      <c r="Y21" s="9"/>
      <c r="Z21" s="9"/>
      <c r="AA21" s="9"/>
      <c r="AB21" s="8"/>
      <c r="AC21" s="8"/>
      <c r="AD21" s="8"/>
      <c r="AH21" t="e">
        <f t="shared" si="5"/>
        <v>#NUM!</v>
      </c>
      <c r="AI21" t="e">
        <f t="shared" si="6"/>
        <v>#NUM!</v>
      </c>
      <c r="AJ21" t="e">
        <f t="shared" si="7"/>
        <v>#NUM!</v>
      </c>
      <c r="AK21" t="e">
        <f t="shared" si="8"/>
        <v>#NUM!</v>
      </c>
      <c r="AL21" t="e">
        <f t="shared" si="9"/>
        <v>#NUM!</v>
      </c>
      <c r="AM21" t="e">
        <f t="shared" si="10"/>
        <v>#NUM!</v>
      </c>
      <c r="BI21" s="25">
        <v>45627</v>
      </c>
      <c r="BL21" s="31">
        <v>15</v>
      </c>
      <c r="BM21" s="32">
        <f t="shared" si="0"/>
        <v>44910</v>
      </c>
      <c r="BN21" s="31" cm="1">
        <f t="array" ref="BN21">IF(MONTH($D$8)=MONTH(BM21),SUMIFS(TableTrend[positive],TableTrend[review_time],"="&amp;$BM21,TableTrend[topic],"="&amp;INDEX($C$22:$C$28,$D$3)),NA())</f>
        <v>0</v>
      </c>
      <c r="BO21" s="31" cm="1">
        <f t="array" ref="BO21">IF(MONTH($D$8)=MONTH(BM21),SUMIFS(TableTrend[neutral],TableTrend[review_time],"="&amp;$BM21,TableTrend[topic],"="&amp;INDEX($C$22:$C$28,$D$3)),NA())</f>
        <v>0</v>
      </c>
      <c r="BP21" s="31" cm="1">
        <f t="array" ref="BP21">IF(MONTH($D$8)=MONTH(BM21),SUMIFS(TableTrend[negative],TableTrend[review_time],"="&amp;$BM21,TableTrend[topic],"="&amp;INDEX($C$22:$C$28,$D$3)),NA())</f>
        <v>0</v>
      </c>
      <c r="BQ21" s="31" cm="1">
        <f t="array" ref="BQ21">IF(MONTH($D$8)=MONTH(BM21),SUMIFS(TableTrend[total],TableTrend[review_time],"="&amp;$BM21,TableTrend[topic],"="&amp;INDEX($C$22:$C$28,$D$3)),NA())</f>
        <v>0</v>
      </c>
      <c r="BR21" s="31" cm="1">
        <f t="array" ref="BR21">IF($BK$14,IF(MONTH($D$8)=MONTH(BM21),IFERROR(SUMIFS(TableTrend[rating_sum],TableTrend[review_time],"="&amp;$BM21,TableTrend[topic],"="&amp;INDEX($C$22:$C$28,$D$3)) / SUMIFS(TableTrend[rating_count],TableTrend[review_time],"="&amp;$BM21,TableTrend[topic],"="&amp;INDEX($C$22:$C$28,$D$3)),0),NA()),NA())</f>
        <v>0</v>
      </c>
      <c r="BS21" s="33" t="str">
        <f t="shared" si="2"/>
        <v/>
      </c>
      <c r="BT21" s="33" t="str">
        <f t="shared" si="3"/>
        <v/>
      </c>
      <c r="BU21" s="33" t="str">
        <f t="shared" si="4"/>
        <v/>
      </c>
      <c r="BV21" s="26"/>
      <c r="BW21" s="26"/>
      <c r="BX21" s="26"/>
      <c r="BY21" s="26"/>
      <c r="BZ21" s="26"/>
    </row>
    <row r="22" spans="2:78" x14ac:dyDescent="0.3">
      <c r="B22">
        <v>1</v>
      </c>
      <c r="C22" t="s">
        <v>59</v>
      </c>
      <c r="E22" t="s">
        <v>385</v>
      </c>
      <c r="K22" s="7"/>
      <c r="X22" s="9"/>
      <c r="Y22" s="9"/>
      <c r="Z22" s="9"/>
      <c r="AA22" s="9"/>
      <c r="AB22" s="8"/>
      <c r="AC22" s="8"/>
      <c r="AD22" s="8"/>
      <c r="AH22" t="e">
        <f t="shared" si="5"/>
        <v>#NUM!</v>
      </c>
      <c r="AI22" t="e">
        <f t="shared" si="6"/>
        <v>#NUM!</v>
      </c>
      <c r="AJ22" t="e">
        <f t="shared" si="7"/>
        <v>#NUM!</v>
      </c>
      <c r="AK22" t="e">
        <f t="shared" si="8"/>
        <v>#NUM!</v>
      </c>
      <c r="AL22" t="e">
        <f t="shared" si="9"/>
        <v>#NUM!</v>
      </c>
      <c r="AM22" t="e">
        <f t="shared" si="10"/>
        <v>#NUM!</v>
      </c>
      <c r="BI22" s="25">
        <v>45629</v>
      </c>
      <c r="BL22" s="31">
        <v>16</v>
      </c>
      <c r="BM22" s="32">
        <f t="shared" si="0"/>
        <v>44911</v>
      </c>
      <c r="BN22" s="31" cm="1">
        <f t="array" ref="BN22">IF(MONTH($D$8)=MONTH(BM22),SUMIFS(TableTrend[positive],TableTrend[review_time],"="&amp;$BM22,TableTrend[topic],"="&amp;INDEX($C$22:$C$28,$D$3)),NA())</f>
        <v>0</v>
      </c>
      <c r="BO22" s="31" cm="1">
        <f t="array" ref="BO22">IF(MONTH($D$8)=MONTH(BM22),SUMIFS(TableTrend[neutral],TableTrend[review_time],"="&amp;$BM22,TableTrend[topic],"="&amp;INDEX($C$22:$C$28,$D$3)),NA())</f>
        <v>0</v>
      </c>
      <c r="BP22" s="31" cm="1">
        <f t="array" ref="BP22">IF(MONTH($D$8)=MONTH(BM22),SUMIFS(TableTrend[negative],TableTrend[review_time],"="&amp;$BM22,TableTrend[topic],"="&amp;INDEX($C$22:$C$28,$D$3)),NA())</f>
        <v>0</v>
      </c>
      <c r="BQ22" s="31" cm="1">
        <f t="array" ref="BQ22">IF(MONTH($D$8)=MONTH(BM22),SUMIFS(TableTrend[total],TableTrend[review_time],"="&amp;$BM22,TableTrend[topic],"="&amp;INDEX($C$22:$C$28,$D$3)),NA())</f>
        <v>0</v>
      </c>
      <c r="BR22" s="31" cm="1">
        <f t="array" ref="BR22">IF($BK$14,IF(MONTH($D$8)=MONTH(BM22),IFERROR(SUMIFS(TableTrend[rating_sum],TableTrend[review_time],"="&amp;$BM22,TableTrend[topic],"="&amp;INDEX($C$22:$C$28,$D$3)) / SUMIFS(TableTrend[rating_count],TableTrend[review_time],"="&amp;$BM22,TableTrend[topic],"="&amp;INDEX($C$22:$C$28,$D$3)),0),NA()),NA())</f>
        <v>0</v>
      </c>
      <c r="BS22" s="33" t="str">
        <f t="shared" si="2"/>
        <v/>
      </c>
      <c r="BT22" s="33" t="str">
        <f t="shared" si="3"/>
        <v/>
      </c>
      <c r="BU22" s="33" t="str">
        <f t="shared" si="4"/>
        <v/>
      </c>
      <c r="BV22" s="26"/>
      <c r="BW22" s="26"/>
      <c r="BX22" s="26"/>
      <c r="BY22" s="26"/>
      <c r="BZ22" s="26"/>
    </row>
    <row r="23" spans="2:78" x14ac:dyDescent="0.3">
      <c r="B23">
        <v>2</v>
      </c>
      <c r="C23" t="s">
        <v>9</v>
      </c>
      <c r="E23" t="s">
        <v>208</v>
      </c>
      <c r="K23" s="7"/>
      <c r="X23" s="9"/>
      <c r="Y23" s="9"/>
      <c r="Z23" s="9"/>
      <c r="AA23" s="9"/>
      <c r="AB23" s="8"/>
      <c r="AC23" s="8"/>
      <c r="AD23" s="8"/>
      <c r="AH23" t="e">
        <f t="shared" si="5"/>
        <v>#NUM!</v>
      </c>
      <c r="AI23" t="e">
        <f t="shared" si="6"/>
        <v>#NUM!</v>
      </c>
      <c r="AJ23" t="e">
        <f t="shared" si="7"/>
        <v>#NUM!</v>
      </c>
      <c r="AK23" t="e">
        <f t="shared" si="8"/>
        <v>#NUM!</v>
      </c>
      <c r="AL23" t="e">
        <f t="shared" si="9"/>
        <v>#NUM!</v>
      </c>
      <c r="AM23" t="e">
        <f t="shared" si="10"/>
        <v>#NUM!</v>
      </c>
      <c r="BI23" s="25" t="s">
        <v>376</v>
      </c>
      <c r="BL23" s="31">
        <v>17</v>
      </c>
      <c r="BM23" s="32">
        <f t="shared" si="0"/>
        <v>44912</v>
      </c>
      <c r="BN23" s="31" cm="1">
        <f t="array" ref="BN23">IF(MONTH($D$8)=MONTH(BM23),SUMIFS(TableTrend[positive],TableTrend[review_time],"="&amp;$BM23,TableTrend[topic],"="&amp;INDEX($C$22:$C$28,$D$3)),NA())</f>
        <v>0</v>
      </c>
      <c r="BO23" s="31" cm="1">
        <f t="array" ref="BO23">IF(MONTH($D$8)=MONTH(BM23),SUMIFS(TableTrend[neutral],TableTrend[review_time],"="&amp;$BM23,TableTrend[topic],"="&amp;INDEX($C$22:$C$28,$D$3)),NA())</f>
        <v>0</v>
      </c>
      <c r="BP23" s="31" cm="1">
        <f t="array" ref="BP23">IF(MONTH($D$8)=MONTH(BM23),SUMIFS(TableTrend[negative],TableTrend[review_time],"="&amp;$BM23,TableTrend[topic],"="&amp;INDEX($C$22:$C$28,$D$3)),NA())</f>
        <v>0</v>
      </c>
      <c r="BQ23" s="31" cm="1">
        <f t="array" ref="BQ23">IF(MONTH($D$8)=MONTH(BM23),SUMIFS(TableTrend[total],TableTrend[review_time],"="&amp;$BM23,TableTrend[topic],"="&amp;INDEX($C$22:$C$28,$D$3)),NA())</f>
        <v>0</v>
      </c>
      <c r="BR23" s="31" cm="1">
        <f t="array" ref="BR23">IF($BK$14,IF(MONTH($D$8)=MONTH(BM23),IFERROR(SUMIFS(TableTrend[rating_sum],TableTrend[review_time],"="&amp;$BM23,TableTrend[topic],"="&amp;INDEX($C$22:$C$28,$D$3)) / SUMIFS(TableTrend[rating_count],TableTrend[review_time],"="&amp;$BM23,TableTrend[topic],"="&amp;INDEX($C$22:$C$28,$D$3)),0),NA()),NA())</f>
        <v>0</v>
      </c>
      <c r="BS23" s="33" t="str">
        <f t="shared" si="2"/>
        <v/>
      </c>
      <c r="BT23" s="33" t="str">
        <f t="shared" si="3"/>
        <v/>
      </c>
      <c r="BU23" s="33" t="str">
        <f t="shared" si="4"/>
        <v/>
      </c>
      <c r="BV23" s="26"/>
      <c r="BW23" s="26"/>
      <c r="BX23" s="26"/>
      <c r="BY23" s="26"/>
      <c r="BZ23" s="26"/>
    </row>
    <row r="24" spans="2:78" x14ac:dyDescent="0.3">
      <c r="B24">
        <v>3</v>
      </c>
      <c r="C24" t="s">
        <v>173</v>
      </c>
      <c r="K24" s="7"/>
      <c r="X24" s="9"/>
      <c r="Y24" s="9"/>
      <c r="Z24" s="9"/>
      <c r="AA24" s="9"/>
      <c r="AB24" s="8"/>
      <c r="AC24" s="8"/>
      <c r="AD24" s="8"/>
      <c r="AH24" t="e">
        <f t="shared" si="5"/>
        <v>#NUM!</v>
      </c>
      <c r="AI24" t="e">
        <f t="shared" si="6"/>
        <v>#NUM!</v>
      </c>
      <c r="AJ24" t="e">
        <f t="shared" si="7"/>
        <v>#NUM!</v>
      </c>
      <c r="AK24" t="e">
        <f t="shared" si="8"/>
        <v>#NUM!</v>
      </c>
      <c r="AL24" t="e">
        <f t="shared" si="9"/>
        <v>#NUM!</v>
      </c>
      <c r="AM24" t="e">
        <f t="shared" si="10"/>
        <v>#NUM!</v>
      </c>
      <c r="BL24" s="31">
        <v>18</v>
      </c>
      <c r="BM24" s="32">
        <f t="shared" si="0"/>
        <v>44913</v>
      </c>
      <c r="BN24" s="31" cm="1">
        <f t="array" ref="BN24">IF(MONTH($D$8)=MONTH(BM24),SUMIFS(TableTrend[positive],TableTrend[review_time],"="&amp;$BM24,TableTrend[topic],"="&amp;INDEX($C$22:$C$28,$D$3)),NA())</f>
        <v>0</v>
      </c>
      <c r="BO24" s="31" cm="1">
        <f t="array" ref="BO24">IF(MONTH($D$8)=MONTH(BM24),SUMIFS(TableTrend[neutral],TableTrend[review_time],"="&amp;$BM24,TableTrend[topic],"="&amp;INDEX($C$22:$C$28,$D$3)),NA())</f>
        <v>0</v>
      </c>
      <c r="BP24" s="31" cm="1">
        <f t="array" ref="BP24">IF(MONTH($D$8)=MONTH(BM24),SUMIFS(TableTrend[negative],TableTrend[review_time],"="&amp;$BM24,TableTrend[topic],"="&amp;INDEX($C$22:$C$28,$D$3)),NA())</f>
        <v>0</v>
      </c>
      <c r="BQ24" s="31" cm="1">
        <f t="array" ref="BQ24">IF(MONTH($D$8)=MONTH(BM24),SUMIFS(TableTrend[total],TableTrend[review_time],"="&amp;$BM24,TableTrend[topic],"="&amp;INDEX($C$22:$C$28,$D$3)),NA())</f>
        <v>0</v>
      </c>
      <c r="BR24" s="31" cm="1">
        <f t="array" ref="BR24">IF($BK$14,IF(MONTH($D$8)=MONTH(BM24),IFERROR(SUMIFS(TableTrend[rating_sum],TableTrend[review_time],"="&amp;$BM24,TableTrend[topic],"="&amp;INDEX($C$22:$C$28,$D$3)) / SUMIFS(TableTrend[rating_count],TableTrend[review_time],"="&amp;$BM24,TableTrend[topic],"="&amp;INDEX($C$22:$C$28,$D$3)),0),NA()),NA())</f>
        <v>0</v>
      </c>
      <c r="BS24" s="33" t="str">
        <f t="shared" si="2"/>
        <v/>
      </c>
      <c r="BT24" s="33" t="str">
        <f t="shared" si="3"/>
        <v/>
      </c>
      <c r="BU24" s="33" t="str">
        <f t="shared" si="4"/>
        <v/>
      </c>
      <c r="BV24" s="26"/>
      <c r="BW24" s="26"/>
      <c r="BX24" s="26"/>
      <c r="BY24" s="26"/>
      <c r="BZ24" s="26"/>
    </row>
    <row r="25" spans="2:78" x14ac:dyDescent="0.3">
      <c r="B25">
        <v>4</v>
      </c>
      <c r="C25" t="s">
        <v>174</v>
      </c>
      <c r="K25" s="7"/>
      <c r="X25" s="9"/>
      <c r="Y25" s="9"/>
      <c r="Z25" s="9"/>
      <c r="AA25" s="9"/>
      <c r="AB25" s="8"/>
      <c r="AC25" s="8"/>
      <c r="AD25" s="8"/>
      <c r="AH25" t="e">
        <f t="shared" si="5"/>
        <v>#NUM!</v>
      </c>
      <c r="AI25" t="e">
        <f t="shared" si="6"/>
        <v>#NUM!</v>
      </c>
      <c r="AJ25" t="e">
        <f t="shared" si="7"/>
        <v>#NUM!</v>
      </c>
      <c r="AK25" t="e">
        <f t="shared" si="8"/>
        <v>#NUM!</v>
      </c>
      <c r="AL25" t="e">
        <f t="shared" si="9"/>
        <v>#NUM!</v>
      </c>
      <c r="AM25" t="e">
        <f t="shared" si="10"/>
        <v>#NUM!</v>
      </c>
      <c r="BL25" s="31">
        <v>19</v>
      </c>
      <c r="BM25" s="32">
        <f t="shared" si="0"/>
        <v>44914</v>
      </c>
      <c r="BN25" s="31" cm="1">
        <f t="array" ref="BN25">IF(MONTH($D$8)=MONTH(BM25),SUMIFS(TableTrend[positive],TableTrend[review_time],"="&amp;$BM25,TableTrend[topic],"="&amp;INDEX($C$22:$C$28,$D$3)),NA())</f>
        <v>0</v>
      </c>
      <c r="BO25" s="31" cm="1">
        <f t="array" ref="BO25">IF(MONTH($D$8)=MONTH(BM25),SUMIFS(TableTrend[neutral],TableTrend[review_time],"="&amp;$BM25,TableTrend[topic],"="&amp;INDEX($C$22:$C$28,$D$3)),NA())</f>
        <v>0</v>
      </c>
      <c r="BP25" s="31" cm="1">
        <f t="array" ref="BP25">IF(MONTH($D$8)=MONTH(BM25),SUMIFS(TableTrend[negative],TableTrend[review_time],"="&amp;$BM25,TableTrend[topic],"="&amp;INDEX($C$22:$C$28,$D$3)),NA())</f>
        <v>0</v>
      </c>
      <c r="BQ25" s="31" cm="1">
        <f t="array" ref="BQ25">IF(MONTH($D$8)=MONTH(BM25),SUMIFS(TableTrend[total],TableTrend[review_time],"="&amp;$BM25,TableTrend[topic],"="&amp;INDEX($C$22:$C$28,$D$3)),NA())</f>
        <v>0</v>
      </c>
      <c r="BR25" s="31" cm="1">
        <f t="array" ref="BR25">IF($BK$14,IF(MONTH($D$8)=MONTH(BM25),IFERROR(SUMIFS(TableTrend[rating_sum],TableTrend[review_time],"="&amp;$BM25,TableTrend[topic],"="&amp;INDEX($C$22:$C$28,$D$3)) / SUMIFS(TableTrend[rating_count],TableTrend[review_time],"="&amp;$BM25,TableTrend[topic],"="&amp;INDEX($C$22:$C$28,$D$3)),0),NA()),NA())</f>
        <v>0</v>
      </c>
      <c r="BS25" s="33" t="str">
        <f t="shared" si="2"/>
        <v/>
      </c>
      <c r="BT25" s="33" t="str">
        <f t="shared" si="3"/>
        <v/>
      </c>
      <c r="BU25" s="33" t="str">
        <f t="shared" si="4"/>
        <v/>
      </c>
      <c r="BV25" s="26"/>
      <c r="BW25" s="26"/>
      <c r="BX25" s="26"/>
      <c r="BY25" s="26"/>
      <c r="BZ25" s="26"/>
    </row>
    <row r="26" spans="2:78" x14ac:dyDescent="0.3">
      <c r="B26">
        <v>5</v>
      </c>
      <c r="C26" t="s">
        <v>22</v>
      </c>
      <c r="K26" s="7"/>
      <c r="X26" s="9"/>
      <c r="Y26" s="9"/>
      <c r="Z26" s="9"/>
      <c r="AA26" s="9"/>
      <c r="AB26" s="8"/>
      <c r="AC26" s="8"/>
      <c r="AD26" s="8"/>
      <c r="AH26" t="e">
        <f t="shared" si="5"/>
        <v>#NUM!</v>
      </c>
      <c r="AI26" t="e">
        <f t="shared" si="6"/>
        <v>#NUM!</v>
      </c>
      <c r="AJ26" t="e">
        <f t="shared" si="7"/>
        <v>#NUM!</v>
      </c>
      <c r="AK26" t="e">
        <f t="shared" si="8"/>
        <v>#NUM!</v>
      </c>
      <c r="AL26" t="e">
        <f t="shared" si="9"/>
        <v>#NUM!</v>
      </c>
      <c r="AM26" t="e">
        <f t="shared" si="10"/>
        <v>#NUM!</v>
      </c>
      <c r="BL26" s="31">
        <v>20</v>
      </c>
      <c r="BM26" s="32">
        <f t="shared" si="0"/>
        <v>44915</v>
      </c>
      <c r="BN26" s="31" cm="1">
        <f t="array" ref="BN26">IF(MONTH($D$8)=MONTH(BM26),SUMIFS(TableTrend[positive],TableTrend[review_time],"="&amp;$BM26,TableTrend[topic],"="&amp;INDEX($C$22:$C$28,$D$3)),NA())</f>
        <v>0</v>
      </c>
      <c r="BO26" s="31" cm="1">
        <f t="array" ref="BO26">IF(MONTH($D$8)=MONTH(BM26),SUMIFS(TableTrend[neutral],TableTrend[review_time],"="&amp;$BM26,TableTrend[topic],"="&amp;INDEX($C$22:$C$28,$D$3)),NA())</f>
        <v>0</v>
      </c>
      <c r="BP26" s="31" cm="1">
        <f t="array" ref="BP26">IF(MONTH($D$8)=MONTH(BM26),SUMIFS(TableTrend[negative],TableTrend[review_time],"="&amp;$BM26,TableTrend[topic],"="&amp;INDEX($C$22:$C$28,$D$3)),NA())</f>
        <v>0</v>
      </c>
      <c r="BQ26" s="31" cm="1">
        <f t="array" ref="BQ26">IF(MONTH($D$8)=MONTH(BM26),SUMIFS(TableTrend[total],TableTrend[review_time],"="&amp;$BM26,TableTrend[topic],"="&amp;INDEX($C$22:$C$28,$D$3)),NA())</f>
        <v>0</v>
      </c>
      <c r="BR26" s="31" cm="1">
        <f t="array" ref="BR26">IF($BK$14,IF(MONTH($D$8)=MONTH(BM26),IFERROR(SUMIFS(TableTrend[rating_sum],TableTrend[review_time],"="&amp;$BM26,TableTrend[topic],"="&amp;INDEX($C$22:$C$28,$D$3)) / SUMIFS(TableTrend[rating_count],TableTrend[review_time],"="&amp;$BM26,TableTrend[topic],"="&amp;INDEX($C$22:$C$28,$D$3)),0),NA()),NA())</f>
        <v>0</v>
      </c>
      <c r="BS26" s="33" t="str">
        <f t="shared" si="2"/>
        <v/>
      </c>
      <c r="BT26" s="33" t="str">
        <f t="shared" si="3"/>
        <v/>
      </c>
      <c r="BU26" s="33" t="str">
        <f t="shared" si="4"/>
        <v/>
      </c>
      <c r="BV26" s="26"/>
      <c r="BW26" s="26"/>
      <c r="BX26" s="26"/>
      <c r="BY26" s="26"/>
      <c r="BZ26" s="26"/>
    </row>
    <row r="27" spans="2:78" x14ac:dyDescent="0.3">
      <c r="B27">
        <v>6</v>
      </c>
      <c r="C27" t="s">
        <v>175</v>
      </c>
      <c r="K27" s="7"/>
      <c r="X27" s="7"/>
      <c r="Z27" s="7"/>
      <c r="AA27" s="7"/>
      <c r="AH27" t="e">
        <f t="shared" si="5"/>
        <v>#NUM!</v>
      </c>
      <c r="AI27" t="e">
        <f t="shared" si="6"/>
        <v>#NUM!</v>
      </c>
      <c r="AJ27" t="e">
        <f t="shared" si="7"/>
        <v>#NUM!</v>
      </c>
      <c r="AK27" t="e">
        <f t="shared" si="8"/>
        <v>#NUM!</v>
      </c>
      <c r="AL27" t="e">
        <f t="shared" si="9"/>
        <v>#NUM!</v>
      </c>
      <c r="AM27" t="e">
        <f t="shared" si="10"/>
        <v>#NUM!</v>
      </c>
      <c r="BL27" s="31">
        <v>21</v>
      </c>
      <c r="BM27" s="32">
        <f t="shared" si="0"/>
        <v>44916</v>
      </c>
      <c r="BN27" s="31" cm="1">
        <f t="array" ref="BN27">IF(MONTH($D$8)=MONTH(BM27),SUMIFS(TableTrend[positive],TableTrend[review_time],"="&amp;$BM27,TableTrend[topic],"="&amp;INDEX($C$22:$C$28,$D$3)),NA())</f>
        <v>0</v>
      </c>
      <c r="BO27" s="31" cm="1">
        <f t="array" ref="BO27">IF(MONTH($D$8)=MONTH(BM27),SUMIFS(TableTrend[neutral],TableTrend[review_time],"="&amp;$BM27,TableTrend[topic],"="&amp;INDEX($C$22:$C$28,$D$3)),NA())</f>
        <v>0</v>
      </c>
      <c r="BP27" s="31" cm="1">
        <f t="array" ref="BP27">IF(MONTH($D$8)=MONTH(BM27),SUMIFS(TableTrend[negative],TableTrend[review_time],"="&amp;$BM27,TableTrend[topic],"="&amp;INDEX($C$22:$C$28,$D$3)),NA())</f>
        <v>0</v>
      </c>
      <c r="BQ27" s="31" cm="1">
        <f t="array" ref="BQ27">IF(MONTH($D$8)=MONTH(BM27),SUMIFS(TableTrend[total],TableTrend[review_time],"="&amp;$BM27,TableTrend[topic],"="&amp;INDEX($C$22:$C$28,$D$3)),NA())</f>
        <v>0</v>
      </c>
      <c r="BR27" s="31" cm="1">
        <f t="array" ref="BR27">IF($BK$14,IF(MONTH($D$8)=MONTH(BM27),IFERROR(SUMIFS(TableTrend[rating_sum],TableTrend[review_time],"="&amp;$BM27,TableTrend[topic],"="&amp;INDEX($C$22:$C$28,$D$3)) / SUMIFS(TableTrend[rating_count],TableTrend[review_time],"="&amp;$BM27,TableTrend[topic],"="&amp;INDEX($C$22:$C$28,$D$3)),0),NA()),NA())</f>
        <v>0</v>
      </c>
      <c r="BS27" s="33" t="str">
        <f t="shared" si="2"/>
        <v/>
      </c>
      <c r="BT27" s="33" t="str">
        <f t="shared" si="3"/>
        <v/>
      </c>
      <c r="BU27" s="33" t="str">
        <f t="shared" si="4"/>
        <v/>
      </c>
      <c r="BV27" s="26"/>
      <c r="BW27" s="26"/>
      <c r="BX27" s="26"/>
      <c r="BY27" s="26"/>
      <c r="BZ27" s="26"/>
    </row>
    <row r="28" spans="2:78" x14ac:dyDescent="0.3">
      <c r="B28">
        <v>7</v>
      </c>
      <c r="C28" t="s">
        <v>152</v>
      </c>
      <c r="K28" s="7"/>
      <c r="X28" s="7"/>
      <c r="Z28" s="7"/>
      <c r="AA28" s="7"/>
      <c r="AH28" t="e">
        <f t="shared" si="5"/>
        <v>#NUM!</v>
      </c>
      <c r="AI28" t="e">
        <f t="shared" si="6"/>
        <v>#NUM!</v>
      </c>
      <c r="AJ28" t="e">
        <f t="shared" si="7"/>
        <v>#NUM!</v>
      </c>
      <c r="AK28" t="e">
        <f t="shared" si="8"/>
        <v>#NUM!</v>
      </c>
      <c r="AL28" t="e">
        <f t="shared" si="9"/>
        <v>#NUM!</v>
      </c>
      <c r="AM28" t="e">
        <f t="shared" si="10"/>
        <v>#NUM!</v>
      </c>
      <c r="BL28" s="31">
        <v>22</v>
      </c>
      <c r="BM28" s="32">
        <f t="shared" si="0"/>
        <v>44917</v>
      </c>
      <c r="BN28" s="31" cm="1">
        <f t="array" ref="BN28">IF(MONTH($D$8)=MONTH(BM28),SUMIFS(TableTrend[positive],TableTrend[review_time],"="&amp;$BM28,TableTrend[topic],"="&amp;INDEX($C$22:$C$28,$D$3)),NA())</f>
        <v>0</v>
      </c>
      <c r="BO28" s="31" cm="1">
        <f t="array" ref="BO28">IF(MONTH($D$8)=MONTH(BM28),SUMIFS(TableTrend[neutral],TableTrend[review_time],"="&amp;$BM28,TableTrend[topic],"="&amp;INDEX($C$22:$C$28,$D$3)),NA())</f>
        <v>0</v>
      </c>
      <c r="BP28" s="31" cm="1">
        <f t="array" ref="BP28">IF(MONTH($D$8)=MONTH(BM28),SUMIFS(TableTrend[negative],TableTrend[review_time],"="&amp;$BM28,TableTrend[topic],"="&amp;INDEX($C$22:$C$28,$D$3)),NA())</f>
        <v>0</v>
      </c>
      <c r="BQ28" s="31" cm="1">
        <f t="array" ref="BQ28">IF(MONTH($D$8)=MONTH(BM28),SUMIFS(TableTrend[total],TableTrend[review_time],"="&amp;$BM28,TableTrend[topic],"="&amp;INDEX($C$22:$C$28,$D$3)),NA())</f>
        <v>0</v>
      </c>
      <c r="BR28" s="31" cm="1">
        <f t="array" ref="BR28">IF($BK$14,IF(MONTH($D$8)=MONTH(BM28),IFERROR(SUMIFS(TableTrend[rating_sum],TableTrend[review_time],"="&amp;$BM28,TableTrend[topic],"="&amp;INDEX($C$22:$C$28,$D$3)) / SUMIFS(TableTrend[rating_count],TableTrend[review_time],"="&amp;$BM28,TableTrend[topic],"="&amp;INDEX($C$22:$C$28,$D$3)),0),NA()),NA())</f>
        <v>0</v>
      </c>
      <c r="BS28" s="33" t="str">
        <f t="shared" si="2"/>
        <v/>
      </c>
      <c r="BT28" s="33" t="str">
        <f t="shared" si="3"/>
        <v/>
      </c>
      <c r="BU28" s="33" t="str">
        <f t="shared" si="4"/>
        <v/>
      </c>
      <c r="BV28" s="26"/>
      <c r="BW28" s="26"/>
      <c r="BX28" s="26"/>
      <c r="BY28" s="26"/>
      <c r="BZ28" s="26"/>
    </row>
    <row r="29" spans="2:78" x14ac:dyDescent="0.3">
      <c r="K29" s="7"/>
      <c r="X29" s="7"/>
      <c r="Z29" s="7"/>
      <c r="AA29" s="7"/>
      <c r="AH29" t="e">
        <f t="shared" si="5"/>
        <v>#NUM!</v>
      </c>
      <c r="AI29" t="e">
        <f t="shared" si="6"/>
        <v>#NUM!</v>
      </c>
      <c r="AJ29" t="e">
        <f t="shared" si="7"/>
        <v>#NUM!</v>
      </c>
      <c r="AK29" t="e">
        <f t="shared" si="8"/>
        <v>#NUM!</v>
      </c>
      <c r="AL29" t="e">
        <f t="shared" si="9"/>
        <v>#NUM!</v>
      </c>
      <c r="AM29" t="e">
        <f t="shared" si="10"/>
        <v>#NUM!</v>
      </c>
      <c r="BL29" s="31">
        <v>23</v>
      </c>
      <c r="BM29" s="32">
        <f t="shared" si="0"/>
        <v>44918</v>
      </c>
      <c r="BN29" s="31" cm="1">
        <f t="array" ref="BN29">IF(MONTH($D$8)=MONTH(BM29),SUMIFS(TableTrend[positive],TableTrend[review_time],"="&amp;$BM29,TableTrend[topic],"="&amp;INDEX($C$22:$C$28,$D$3)),NA())</f>
        <v>0</v>
      </c>
      <c r="BO29" s="31" cm="1">
        <f t="array" ref="BO29">IF(MONTH($D$8)=MONTH(BM29),SUMIFS(TableTrend[neutral],TableTrend[review_time],"="&amp;$BM29,TableTrend[topic],"="&amp;INDEX($C$22:$C$28,$D$3)),NA())</f>
        <v>0</v>
      </c>
      <c r="BP29" s="31" cm="1">
        <f t="array" ref="BP29">IF(MONTH($D$8)=MONTH(BM29),SUMIFS(TableTrend[negative],TableTrend[review_time],"="&amp;$BM29,TableTrend[topic],"="&amp;INDEX($C$22:$C$28,$D$3)),NA())</f>
        <v>0</v>
      </c>
      <c r="BQ29" s="31" cm="1">
        <f t="array" ref="BQ29">IF(MONTH($D$8)=MONTH(BM29),SUMIFS(TableTrend[total],TableTrend[review_time],"="&amp;$BM29,TableTrend[topic],"="&amp;INDEX($C$22:$C$28,$D$3)),NA())</f>
        <v>0</v>
      </c>
      <c r="BR29" s="31" cm="1">
        <f t="array" ref="BR29">IF($BK$14,IF(MONTH($D$8)=MONTH(BM29),IFERROR(SUMIFS(TableTrend[rating_sum],TableTrend[review_time],"="&amp;$BM29,TableTrend[topic],"="&amp;INDEX($C$22:$C$28,$D$3)) / SUMIFS(TableTrend[rating_count],TableTrend[review_time],"="&amp;$BM29,TableTrend[topic],"="&amp;INDEX($C$22:$C$28,$D$3)),0),NA()),NA())</f>
        <v>0</v>
      </c>
      <c r="BS29" s="33" t="str">
        <f t="shared" si="2"/>
        <v/>
      </c>
      <c r="BT29" s="33" t="str">
        <f t="shared" si="3"/>
        <v/>
      </c>
      <c r="BU29" s="33" t="str">
        <f t="shared" si="4"/>
        <v/>
      </c>
      <c r="BV29" s="26"/>
      <c r="BW29" s="26"/>
      <c r="BX29" s="26"/>
      <c r="BY29" s="26"/>
      <c r="BZ29" s="26"/>
    </row>
    <row r="30" spans="2:78" x14ac:dyDescent="0.3">
      <c r="K30" s="7"/>
      <c r="X30" s="7"/>
      <c r="Z30" s="7"/>
      <c r="AA30" s="7"/>
      <c r="AH30" t="e">
        <f t="shared" si="5"/>
        <v>#NUM!</v>
      </c>
      <c r="AI30" t="e">
        <f t="shared" si="6"/>
        <v>#NUM!</v>
      </c>
      <c r="AJ30" t="e">
        <f t="shared" si="7"/>
        <v>#NUM!</v>
      </c>
      <c r="AK30" t="e">
        <f t="shared" si="8"/>
        <v>#NUM!</v>
      </c>
      <c r="AL30" t="e">
        <f t="shared" si="9"/>
        <v>#NUM!</v>
      </c>
      <c r="AM30" t="e">
        <f t="shared" si="10"/>
        <v>#NUM!</v>
      </c>
      <c r="BL30" s="31">
        <v>24</v>
      </c>
      <c r="BM30" s="32">
        <f t="shared" si="0"/>
        <v>44919</v>
      </c>
      <c r="BN30" s="31" cm="1">
        <f t="array" ref="BN30">IF(MONTH($D$8)=MONTH(BM30),SUMIFS(TableTrend[positive],TableTrend[review_time],"="&amp;$BM30,TableTrend[topic],"="&amp;INDEX($C$22:$C$28,$D$3)),NA())</f>
        <v>0</v>
      </c>
      <c r="BO30" s="31" cm="1">
        <f t="array" ref="BO30">IF(MONTH($D$8)=MONTH(BM30),SUMIFS(TableTrend[neutral],TableTrend[review_time],"="&amp;$BM30,TableTrend[topic],"="&amp;INDEX($C$22:$C$28,$D$3)),NA())</f>
        <v>0</v>
      </c>
      <c r="BP30" s="31" cm="1">
        <f t="array" ref="BP30">IF(MONTH($D$8)=MONTH(BM30),SUMIFS(TableTrend[negative],TableTrend[review_time],"="&amp;$BM30,TableTrend[topic],"="&amp;INDEX($C$22:$C$28,$D$3)),NA())</f>
        <v>0</v>
      </c>
      <c r="BQ30" s="31" cm="1">
        <f t="array" ref="BQ30">IF(MONTH($D$8)=MONTH(BM30),SUMIFS(TableTrend[total],TableTrend[review_time],"="&amp;$BM30,TableTrend[topic],"="&amp;INDEX($C$22:$C$28,$D$3)),NA())</f>
        <v>0</v>
      </c>
      <c r="BR30" s="31" cm="1">
        <f t="array" ref="BR30">IF($BK$14,IF(MONTH($D$8)=MONTH(BM30),IFERROR(SUMIFS(TableTrend[rating_sum],TableTrend[review_time],"="&amp;$BM30,TableTrend[topic],"="&amp;INDEX($C$22:$C$28,$D$3)) / SUMIFS(TableTrend[rating_count],TableTrend[review_time],"="&amp;$BM30,TableTrend[topic],"="&amp;INDEX($C$22:$C$28,$D$3)),0),NA()),NA())</f>
        <v>0</v>
      </c>
      <c r="BS30" s="33" t="str">
        <f t="shared" si="2"/>
        <v/>
      </c>
      <c r="BT30" s="33" t="str">
        <f t="shared" si="3"/>
        <v/>
      </c>
      <c r="BU30" s="33" t="str">
        <f t="shared" si="4"/>
        <v/>
      </c>
      <c r="BV30" s="26"/>
      <c r="BW30" s="26"/>
      <c r="BX30" s="26"/>
      <c r="BY30" s="26"/>
      <c r="BZ30" s="26"/>
    </row>
    <row r="31" spans="2:78" x14ac:dyDescent="0.3">
      <c r="K31" s="7"/>
      <c r="X31" s="7"/>
      <c r="Z31" s="7"/>
      <c r="AA31" s="7"/>
      <c r="AH31" t="e">
        <f t="shared" si="5"/>
        <v>#NUM!</v>
      </c>
      <c r="AI31" t="e">
        <f t="shared" si="6"/>
        <v>#NUM!</v>
      </c>
      <c r="AJ31" t="e">
        <f t="shared" si="7"/>
        <v>#NUM!</v>
      </c>
      <c r="AK31" t="e">
        <f t="shared" si="8"/>
        <v>#NUM!</v>
      </c>
      <c r="AL31" t="e">
        <f t="shared" si="9"/>
        <v>#NUM!</v>
      </c>
      <c r="AM31" t="e">
        <f t="shared" si="10"/>
        <v>#NUM!</v>
      </c>
      <c r="BL31" s="31">
        <v>25</v>
      </c>
      <c r="BM31" s="32">
        <f t="shared" si="0"/>
        <v>44920</v>
      </c>
      <c r="BN31" s="31" cm="1">
        <f t="array" ref="BN31">IF(MONTH($D$8)=MONTH(BM31),SUMIFS(TableTrend[positive],TableTrend[review_time],"="&amp;$BM31,TableTrend[topic],"="&amp;INDEX($C$22:$C$28,$D$3)),NA())</f>
        <v>0</v>
      </c>
      <c r="BO31" s="31" cm="1">
        <f t="array" ref="BO31">IF(MONTH($D$8)=MONTH(BM31),SUMIFS(TableTrend[neutral],TableTrend[review_time],"="&amp;$BM31,TableTrend[topic],"="&amp;INDEX($C$22:$C$28,$D$3)),NA())</f>
        <v>0</v>
      </c>
      <c r="BP31" s="31" cm="1">
        <f t="array" ref="BP31">IF(MONTH($D$8)=MONTH(BM31),SUMIFS(TableTrend[negative],TableTrend[review_time],"="&amp;$BM31,TableTrend[topic],"="&amp;INDEX($C$22:$C$28,$D$3)),NA())</f>
        <v>0</v>
      </c>
      <c r="BQ31" s="31" cm="1">
        <f t="array" ref="BQ31">IF(MONTH($D$8)=MONTH(BM31),SUMIFS(TableTrend[total],TableTrend[review_time],"="&amp;$BM31,TableTrend[topic],"="&amp;INDEX($C$22:$C$28,$D$3)),NA())</f>
        <v>0</v>
      </c>
      <c r="BR31" s="31" cm="1">
        <f t="array" ref="BR31">IF($BK$14,IF(MONTH($D$8)=MONTH(BM31),IFERROR(SUMIFS(TableTrend[rating_sum],TableTrend[review_time],"="&amp;$BM31,TableTrend[topic],"="&amp;INDEX($C$22:$C$28,$D$3)) / SUMIFS(TableTrend[rating_count],TableTrend[review_time],"="&amp;$BM31,TableTrend[topic],"="&amp;INDEX($C$22:$C$28,$D$3)),0),NA()),NA())</f>
        <v>0</v>
      </c>
      <c r="BS31" s="33" t="str">
        <f t="shared" si="2"/>
        <v/>
      </c>
      <c r="BT31" s="33" t="str">
        <f t="shared" si="3"/>
        <v/>
      </c>
      <c r="BU31" s="33" t="str">
        <f t="shared" si="4"/>
        <v/>
      </c>
      <c r="BV31" s="26"/>
      <c r="BW31" s="26"/>
      <c r="BX31" s="26"/>
      <c r="BY31" s="26"/>
      <c r="BZ31" s="26"/>
    </row>
    <row r="32" spans="2:78" x14ac:dyDescent="0.3">
      <c r="K32" s="7"/>
      <c r="X32" s="7"/>
      <c r="Z32" s="7"/>
      <c r="AA32" s="7"/>
      <c r="AH32" t="e">
        <f t="shared" si="5"/>
        <v>#NUM!</v>
      </c>
      <c r="AI32" t="e">
        <f t="shared" si="6"/>
        <v>#NUM!</v>
      </c>
      <c r="AJ32" t="e">
        <f t="shared" si="7"/>
        <v>#NUM!</v>
      </c>
      <c r="AK32" t="e">
        <f t="shared" si="8"/>
        <v>#NUM!</v>
      </c>
      <c r="AL32" t="e">
        <f t="shared" si="9"/>
        <v>#NUM!</v>
      </c>
      <c r="AM32" t="e">
        <f t="shared" si="10"/>
        <v>#NUM!</v>
      </c>
      <c r="BL32" s="31">
        <v>26</v>
      </c>
      <c r="BM32" s="32">
        <f t="shared" si="0"/>
        <v>44921</v>
      </c>
      <c r="BN32" s="31" cm="1">
        <f t="array" ref="BN32">IF(MONTH($D$8)=MONTH(BM32),SUMIFS(TableTrend[positive],TableTrend[review_time],"="&amp;$BM32,TableTrend[topic],"="&amp;INDEX($C$22:$C$28,$D$3)),NA())</f>
        <v>0</v>
      </c>
      <c r="BO32" s="31" cm="1">
        <f t="array" ref="BO32">IF(MONTH($D$8)=MONTH(BM32),SUMIFS(TableTrend[neutral],TableTrend[review_time],"="&amp;$BM32,TableTrend[topic],"="&amp;INDEX($C$22:$C$28,$D$3)),NA())</f>
        <v>0</v>
      </c>
      <c r="BP32" s="31" cm="1">
        <f t="array" ref="BP32">IF(MONTH($D$8)=MONTH(BM32),SUMIFS(TableTrend[negative],TableTrend[review_time],"="&amp;$BM32,TableTrend[topic],"="&amp;INDEX($C$22:$C$28,$D$3)),NA())</f>
        <v>0</v>
      </c>
      <c r="BQ32" s="31" cm="1">
        <f t="array" ref="BQ32">IF(MONTH($D$8)=MONTH(BM32),SUMIFS(TableTrend[total],TableTrend[review_time],"="&amp;$BM32,TableTrend[topic],"="&amp;INDEX($C$22:$C$28,$D$3)),NA())</f>
        <v>0</v>
      </c>
      <c r="BR32" s="31" cm="1">
        <f t="array" ref="BR32">IF($BK$14,IF(MONTH($D$8)=MONTH(BM32),IFERROR(SUMIFS(TableTrend[rating_sum],TableTrend[review_time],"="&amp;$BM32,TableTrend[topic],"="&amp;INDEX($C$22:$C$28,$D$3)) / SUMIFS(TableTrend[rating_count],TableTrend[review_time],"="&amp;$BM32,TableTrend[topic],"="&amp;INDEX($C$22:$C$28,$D$3)),0),NA()),NA())</f>
        <v>0</v>
      </c>
      <c r="BS32" s="33" t="str">
        <f t="shared" si="2"/>
        <v/>
      </c>
      <c r="BT32" s="33" t="str">
        <f t="shared" si="3"/>
        <v/>
      </c>
      <c r="BU32" s="33" t="str">
        <f t="shared" si="4"/>
        <v/>
      </c>
      <c r="BV32" s="26"/>
      <c r="BW32" s="26"/>
      <c r="BX32" s="26"/>
      <c r="BY32" s="26"/>
      <c r="BZ32" s="26"/>
    </row>
    <row r="33" spans="11:78" x14ac:dyDescent="0.3">
      <c r="K33" s="7"/>
      <c r="X33" s="7"/>
      <c r="Z33" s="7"/>
      <c r="AA33" s="7"/>
      <c r="AH33" t="e">
        <f t="shared" si="5"/>
        <v>#NUM!</v>
      </c>
      <c r="AI33" t="e">
        <f t="shared" si="6"/>
        <v>#NUM!</v>
      </c>
      <c r="AJ33" t="e">
        <f t="shared" si="7"/>
        <v>#NUM!</v>
      </c>
      <c r="AK33" t="e">
        <f t="shared" si="8"/>
        <v>#NUM!</v>
      </c>
      <c r="AL33" t="e">
        <f t="shared" si="9"/>
        <v>#NUM!</v>
      </c>
      <c r="AM33" t="e">
        <f t="shared" si="10"/>
        <v>#NUM!</v>
      </c>
      <c r="BL33" s="31">
        <v>27</v>
      </c>
      <c r="BM33" s="32">
        <f t="shared" si="0"/>
        <v>44922</v>
      </c>
      <c r="BN33" s="31" cm="1">
        <f t="array" ref="BN33">IF(MONTH($D$8)=MONTH(BM33),SUMIFS(TableTrend[positive],TableTrend[review_time],"="&amp;$BM33,TableTrend[topic],"="&amp;INDEX($C$22:$C$28,$D$3)),NA())</f>
        <v>0</v>
      </c>
      <c r="BO33" s="31" cm="1">
        <f t="array" ref="BO33">IF(MONTH($D$8)=MONTH(BM33),SUMIFS(TableTrend[neutral],TableTrend[review_time],"="&amp;$BM33,TableTrend[topic],"="&amp;INDEX($C$22:$C$28,$D$3)),NA())</f>
        <v>0</v>
      </c>
      <c r="BP33" s="31" cm="1">
        <f t="array" ref="BP33">IF(MONTH($D$8)=MONTH(BM33),SUMIFS(TableTrend[negative],TableTrend[review_time],"="&amp;$BM33,TableTrend[topic],"="&amp;INDEX($C$22:$C$28,$D$3)),NA())</f>
        <v>0</v>
      </c>
      <c r="BQ33" s="31" cm="1">
        <f t="array" ref="BQ33">IF(MONTH($D$8)=MONTH(BM33),SUMIFS(TableTrend[total],TableTrend[review_time],"="&amp;$BM33,TableTrend[topic],"="&amp;INDEX($C$22:$C$28,$D$3)),NA())</f>
        <v>0</v>
      </c>
      <c r="BR33" s="31" cm="1">
        <f t="array" ref="BR33">IF($BK$14,IF(MONTH($D$8)=MONTH(BM33),IFERROR(SUMIFS(TableTrend[rating_sum],TableTrend[review_time],"="&amp;$BM33,TableTrend[topic],"="&amp;INDEX($C$22:$C$28,$D$3)) / SUMIFS(TableTrend[rating_count],TableTrend[review_time],"="&amp;$BM33,TableTrend[topic],"="&amp;INDEX($C$22:$C$28,$D$3)),0),NA()),NA())</f>
        <v>0</v>
      </c>
      <c r="BS33" s="33" t="str">
        <f t="shared" si="2"/>
        <v/>
      </c>
      <c r="BT33" s="33" t="str">
        <f t="shared" si="3"/>
        <v/>
      </c>
      <c r="BU33" s="33" t="str">
        <f t="shared" si="4"/>
        <v/>
      </c>
      <c r="BV33" s="26"/>
      <c r="BW33" s="26"/>
      <c r="BX33" s="26"/>
      <c r="BY33" s="26"/>
      <c r="BZ33" s="26"/>
    </row>
    <row r="34" spans="11:78" x14ac:dyDescent="0.3">
      <c r="K34" s="7"/>
      <c r="X34" s="7"/>
      <c r="Z34" s="7"/>
      <c r="AA34" s="7"/>
      <c r="AH34" t="e">
        <f t="shared" si="5"/>
        <v>#NUM!</v>
      </c>
      <c r="AI34" t="e">
        <f t="shared" si="6"/>
        <v>#NUM!</v>
      </c>
      <c r="AJ34" t="e">
        <f t="shared" si="7"/>
        <v>#NUM!</v>
      </c>
      <c r="AK34" t="e">
        <f t="shared" si="8"/>
        <v>#NUM!</v>
      </c>
      <c r="AL34" t="e">
        <f t="shared" si="9"/>
        <v>#NUM!</v>
      </c>
      <c r="AM34" t="e">
        <f t="shared" si="10"/>
        <v>#NUM!</v>
      </c>
      <c r="BL34" s="31">
        <v>28</v>
      </c>
      <c r="BM34" s="32">
        <f t="shared" si="0"/>
        <v>44923</v>
      </c>
      <c r="BN34" s="31" cm="1">
        <f t="array" ref="BN34">IF(MONTH($D$8)=MONTH(BM34),SUMIFS(TableTrend[positive],TableTrend[review_time],"="&amp;$BM34,TableTrend[topic],"="&amp;INDEX($C$22:$C$28,$D$3)),NA())</f>
        <v>0</v>
      </c>
      <c r="BO34" s="31" cm="1">
        <f t="array" ref="BO34">IF(MONTH($D$8)=MONTH(BM34),SUMIFS(TableTrend[neutral],TableTrend[review_time],"="&amp;$BM34,TableTrend[topic],"="&amp;INDEX($C$22:$C$28,$D$3)),NA())</f>
        <v>0</v>
      </c>
      <c r="BP34" s="31" cm="1">
        <f t="array" ref="BP34">IF(MONTH($D$8)=MONTH(BM34),SUMIFS(TableTrend[negative],TableTrend[review_time],"="&amp;$BM34,TableTrend[topic],"="&amp;INDEX($C$22:$C$28,$D$3)),NA())</f>
        <v>0</v>
      </c>
      <c r="BQ34" s="31" cm="1">
        <f t="array" ref="BQ34">IF(MONTH($D$8)=MONTH(BM34),SUMIFS(TableTrend[total],TableTrend[review_time],"="&amp;$BM34,TableTrend[topic],"="&amp;INDEX($C$22:$C$28,$D$3)),NA())</f>
        <v>0</v>
      </c>
      <c r="BR34" s="31" cm="1">
        <f t="array" ref="BR34">IF($BK$14,IF(MONTH($D$8)=MONTH(BM34),IFERROR(SUMIFS(TableTrend[rating_sum],TableTrend[review_time],"="&amp;$BM34,TableTrend[topic],"="&amp;INDEX($C$22:$C$28,$D$3)) / SUMIFS(TableTrend[rating_count],TableTrend[review_time],"="&amp;$BM34,TableTrend[topic],"="&amp;INDEX($C$22:$C$28,$D$3)),0),NA()),NA())</f>
        <v>0</v>
      </c>
      <c r="BS34" s="33" t="str">
        <f t="shared" si="2"/>
        <v/>
      </c>
      <c r="BT34" s="33" t="str">
        <f t="shared" si="3"/>
        <v/>
      </c>
      <c r="BU34" s="33" t="str">
        <f t="shared" si="4"/>
        <v/>
      </c>
      <c r="BV34" s="26"/>
      <c r="BW34" s="26"/>
      <c r="BX34" s="26"/>
      <c r="BY34" s="26"/>
      <c r="BZ34" s="26"/>
    </row>
    <row r="35" spans="11:78" x14ac:dyDescent="0.3">
      <c r="K35" s="7"/>
      <c r="X35" s="7"/>
      <c r="Z35" s="7"/>
      <c r="AA35" s="7"/>
      <c r="AH35" t="e">
        <f t="shared" si="5"/>
        <v>#NUM!</v>
      </c>
      <c r="AI35" t="e">
        <f t="shared" si="6"/>
        <v>#NUM!</v>
      </c>
      <c r="AJ35" t="e">
        <f t="shared" si="7"/>
        <v>#NUM!</v>
      </c>
      <c r="AK35" t="e">
        <f t="shared" si="8"/>
        <v>#NUM!</v>
      </c>
      <c r="AL35" t="e">
        <f t="shared" si="9"/>
        <v>#NUM!</v>
      </c>
      <c r="AM35" t="e">
        <f t="shared" si="10"/>
        <v>#NUM!</v>
      </c>
      <c r="BL35" s="31">
        <v>29</v>
      </c>
      <c r="BM35" s="32">
        <f t="shared" si="0"/>
        <v>44924</v>
      </c>
      <c r="BN35" s="31" cm="1">
        <f t="array" ref="BN35">IF(MONTH($D$8)=MONTH(BM35),SUMIFS(TableTrend[positive],TableTrend[review_time],"="&amp;$BM35,TableTrend[topic],"="&amp;INDEX($C$22:$C$28,$D$3)),NA())</f>
        <v>0</v>
      </c>
      <c r="BO35" s="31" cm="1">
        <f t="array" ref="BO35">IF(MONTH($D$8)=MONTH(BM35),SUMIFS(TableTrend[neutral],TableTrend[review_time],"="&amp;$BM35,TableTrend[topic],"="&amp;INDEX($C$22:$C$28,$D$3)),NA())</f>
        <v>0</v>
      </c>
      <c r="BP35" s="31" cm="1">
        <f t="array" ref="BP35">IF(MONTH($D$8)=MONTH(BM35),SUMIFS(TableTrend[negative],TableTrend[review_time],"="&amp;$BM35,TableTrend[topic],"="&amp;INDEX($C$22:$C$28,$D$3)),NA())</f>
        <v>0</v>
      </c>
      <c r="BQ35" s="31" cm="1">
        <f t="array" ref="BQ35">IF(MONTH($D$8)=MONTH(BM35),SUMIFS(TableTrend[total],TableTrend[review_time],"="&amp;$BM35,TableTrend[topic],"="&amp;INDEX($C$22:$C$28,$D$3)),NA())</f>
        <v>0</v>
      </c>
      <c r="BR35" s="31" cm="1">
        <f t="array" ref="BR35">IF($BK$14,IF(MONTH($D$8)=MONTH(BM35),IFERROR(SUMIFS(TableTrend[rating_sum],TableTrend[review_time],"="&amp;$BM35,TableTrend[topic],"="&amp;INDEX($C$22:$C$28,$D$3)) / SUMIFS(TableTrend[rating_count],TableTrend[review_time],"="&amp;$BM35,TableTrend[topic],"="&amp;INDEX($C$22:$C$28,$D$3)),0),NA()),NA())</f>
        <v>0</v>
      </c>
      <c r="BS35" s="33" t="str">
        <f t="shared" si="2"/>
        <v/>
      </c>
      <c r="BT35" s="33" t="str">
        <f t="shared" si="3"/>
        <v/>
      </c>
      <c r="BU35" s="33" t="str">
        <f t="shared" si="4"/>
        <v/>
      </c>
      <c r="BV35" s="26"/>
      <c r="BW35" s="26"/>
      <c r="BX35" s="26"/>
      <c r="BY35" s="26"/>
      <c r="BZ35" s="26"/>
    </row>
    <row r="36" spans="11:78" x14ac:dyDescent="0.3">
      <c r="K36" s="7"/>
      <c r="X36" s="7"/>
      <c r="Z36" s="7"/>
      <c r="AA36" s="7"/>
      <c r="AH36" t="e">
        <f t="shared" si="5"/>
        <v>#NUM!</v>
      </c>
      <c r="AI36" t="e">
        <f t="shared" si="6"/>
        <v>#NUM!</v>
      </c>
      <c r="AJ36" t="e">
        <f t="shared" si="7"/>
        <v>#NUM!</v>
      </c>
      <c r="AK36" t="e">
        <f t="shared" si="8"/>
        <v>#NUM!</v>
      </c>
      <c r="AL36" t="e">
        <f t="shared" si="9"/>
        <v>#NUM!</v>
      </c>
      <c r="AM36" t="e">
        <f t="shared" si="10"/>
        <v>#NUM!</v>
      </c>
      <c r="BL36" s="31">
        <v>30</v>
      </c>
      <c r="BM36" s="32">
        <f>IF(MONTH($D$8)=MONTH(DATE(YEAR($D$8),MONTH($D$8),BL36)),DATE(YEAR($D$8),MONTH($D$8),BL36),NA())</f>
        <v>44925</v>
      </c>
      <c r="BN36" s="31" cm="1">
        <f t="array" ref="BN36">IF(MONTH($D$8)=MONTH(BM36),SUMIFS(TableTrend[positive],TableTrend[review_time],"="&amp;$BM36,TableTrend[topic],"="&amp;INDEX($C$22:$C$28,$D$3)),NA())</f>
        <v>0</v>
      </c>
      <c r="BO36" s="31" cm="1">
        <f t="array" ref="BO36">IF(MONTH($D$8)=MONTH(BM36),SUMIFS(TableTrend[neutral],TableTrend[review_time],"="&amp;$BM36,TableTrend[topic],"="&amp;INDEX($C$22:$C$28,$D$3)),NA())</f>
        <v>0</v>
      </c>
      <c r="BP36" s="31" cm="1">
        <f t="array" ref="BP36">IF(MONTH($D$8)=MONTH(BM36),SUMIFS(TableTrend[negative],TableTrend[review_time],"="&amp;$BM36,TableTrend[topic],"="&amp;INDEX($C$22:$C$28,$D$3)),NA())</f>
        <v>0</v>
      </c>
      <c r="BQ36" s="31" cm="1">
        <f t="array" ref="BQ36">IF(MONTH($D$8)=MONTH(BM36),SUMIFS(TableTrend[total],TableTrend[review_time],"="&amp;$BM36,TableTrend[topic],"="&amp;INDEX($C$22:$C$28,$D$3)),NA())</f>
        <v>0</v>
      </c>
      <c r="BR36" s="31" cm="1">
        <f t="array" ref="BR36">IF($BK$14,IF(MONTH($D$8)=MONTH(BM36),IFERROR(SUMIFS(TableTrend[rating_sum],TableTrend[review_time],"="&amp;$BM36,TableTrend[topic],"="&amp;INDEX($C$22:$C$28,$D$3)) / SUMIFS(TableTrend[rating_count],TableTrend[review_time],"="&amp;$BM36,TableTrend[topic],"="&amp;INDEX($C$22:$C$28,$D$3)),0),NA()),NA())</f>
        <v>0</v>
      </c>
      <c r="BS36" s="33" t="str">
        <f t="shared" si="2"/>
        <v/>
      </c>
      <c r="BT36" s="33" t="str">
        <f t="shared" si="3"/>
        <v/>
      </c>
      <c r="BU36" s="33" t="str">
        <f t="shared" si="4"/>
        <v/>
      </c>
      <c r="BV36" s="26"/>
      <c r="BW36" s="26"/>
      <c r="BX36" s="26"/>
      <c r="BY36" s="26"/>
      <c r="BZ36" s="26"/>
    </row>
    <row r="37" spans="11:78" x14ac:dyDescent="0.3">
      <c r="K37" s="7"/>
      <c r="X37" s="7"/>
      <c r="Z37" s="7"/>
      <c r="AA37" s="7"/>
      <c r="AH37" t="e">
        <f t="shared" si="5"/>
        <v>#NUM!</v>
      </c>
      <c r="AI37" t="e">
        <f t="shared" si="6"/>
        <v>#NUM!</v>
      </c>
      <c r="AJ37" t="e">
        <f t="shared" si="7"/>
        <v>#NUM!</v>
      </c>
      <c r="AK37" t="e">
        <f t="shared" si="8"/>
        <v>#NUM!</v>
      </c>
      <c r="AL37" t="e">
        <f t="shared" si="9"/>
        <v>#NUM!</v>
      </c>
      <c r="AM37" t="e">
        <f t="shared" si="10"/>
        <v>#NUM!</v>
      </c>
      <c r="BL37" s="31">
        <v>31</v>
      </c>
      <c r="BM37" s="32">
        <f>IF(MONTH($D$8)=MONTH(DATE(YEAR($D$8),MONTH($D$8),BL37)),DATE(YEAR($D$8),MONTH($D$8),BL37),NA())</f>
        <v>44926</v>
      </c>
      <c r="BN37" s="31" cm="1">
        <f t="array" ref="BN37">IF(MONTH($D$8)=MONTH(BM37),SUMIFS(TableTrend[positive],TableTrend[review_time],"="&amp;$BM37,TableTrend[topic],"="&amp;INDEX($C$22:$C$28,$D$3)),NA())</f>
        <v>0</v>
      </c>
      <c r="BO37" s="31" cm="1">
        <f t="array" ref="BO37">IF(MONTH($D$8)=MONTH(BM37),SUMIFS(TableTrend[neutral],TableTrend[review_time],"="&amp;$BM37,TableTrend[topic],"="&amp;INDEX($C$22:$C$28,$D$3)),NA())</f>
        <v>0</v>
      </c>
      <c r="BP37" s="31" cm="1">
        <f t="array" ref="BP37">IF(MONTH($D$8)=MONTH(BM37),SUMIFS(TableTrend[negative],TableTrend[review_time],"="&amp;$BM37,TableTrend[topic],"="&amp;INDEX($C$22:$C$28,$D$3)),NA())</f>
        <v>0</v>
      </c>
      <c r="BQ37" s="31" cm="1">
        <f t="array" ref="BQ37">IF(MONTH($D$8)=MONTH(BM37),SUMIFS(TableTrend[total],TableTrend[review_time],"="&amp;$BM37,TableTrend[topic],"="&amp;INDEX($C$22:$C$28,$D$3)),NA())</f>
        <v>0</v>
      </c>
      <c r="BR37" s="31" cm="1">
        <f t="array" ref="BR37">IF($BK$14,IF(MONTH($D$8)=MONTH(BM37),IFERROR(SUMIFS(TableTrend[rating_sum],TableTrend[review_time],"="&amp;$BM37,TableTrend[topic],"="&amp;INDEX($C$22:$C$28,$D$3)) / SUMIFS(TableTrend[rating_count],TableTrend[review_time],"="&amp;$BM37,TableTrend[topic],"="&amp;INDEX($C$22:$C$28,$D$3)),0),NA()),NA())</f>
        <v>0</v>
      </c>
      <c r="BS37" s="33" t="str">
        <f t="shared" si="2"/>
        <v/>
      </c>
      <c r="BT37" s="33" t="str">
        <f t="shared" si="3"/>
        <v/>
      </c>
      <c r="BU37" s="33" t="str">
        <f t="shared" si="4"/>
        <v/>
      </c>
      <c r="BV37" s="26"/>
      <c r="BW37" s="26"/>
      <c r="BX37" s="26"/>
      <c r="BY37" s="26"/>
      <c r="BZ37" s="26"/>
    </row>
    <row r="38" spans="11:78" x14ac:dyDescent="0.3">
      <c r="K38" s="7"/>
      <c r="X38" s="7"/>
      <c r="Z38" s="7"/>
      <c r="AA38" s="7"/>
      <c r="AH38" t="e">
        <f t="shared" si="5"/>
        <v>#NUM!</v>
      </c>
      <c r="AI38" t="e">
        <f t="shared" si="6"/>
        <v>#NUM!</v>
      </c>
      <c r="AJ38" t="e">
        <f t="shared" si="7"/>
        <v>#NUM!</v>
      </c>
      <c r="AK38" t="e">
        <f t="shared" si="8"/>
        <v>#NUM!</v>
      </c>
      <c r="AL38" t="e">
        <f t="shared" si="9"/>
        <v>#NUM!</v>
      </c>
      <c r="AM38" t="e">
        <f t="shared" si="10"/>
        <v>#NUM!</v>
      </c>
    </row>
    <row r="39" spans="11:78" x14ac:dyDescent="0.3">
      <c r="K39" s="7"/>
      <c r="X39" s="7"/>
      <c r="Z39" s="7"/>
      <c r="AA39" s="7"/>
      <c r="AH39" t="e">
        <f t="shared" si="5"/>
        <v>#NUM!</v>
      </c>
      <c r="AI39" t="e">
        <f t="shared" si="6"/>
        <v>#NUM!</v>
      </c>
      <c r="AJ39" t="e">
        <f t="shared" si="7"/>
        <v>#NUM!</v>
      </c>
      <c r="AK39" t="e">
        <f t="shared" si="8"/>
        <v>#NUM!</v>
      </c>
      <c r="AL39" t="e">
        <f t="shared" si="9"/>
        <v>#NUM!</v>
      </c>
      <c r="AM39" t="e">
        <f t="shared" si="10"/>
        <v>#NUM!</v>
      </c>
    </row>
    <row r="40" spans="11:78" x14ac:dyDescent="0.3">
      <c r="K40" s="7"/>
      <c r="X40" s="7"/>
      <c r="Z40" s="7"/>
      <c r="AA40" s="7"/>
      <c r="AH40" t="e">
        <f t="shared" si="5"/>
        <v>#NUM!</v>
      </c>
      <c r="AI40" t="e">
        <f t="shared" si="6"/>
        <v>#NUM!</v>
      </c>
      <c r="AJ40" t="e">
        <f t="shared" si="7"/>
        <v>#NUM!</v>
      </c>
      <c r="AK40" t="e">
        <f t="shared" si="8"/>
        <v>#NUM!</v>
      </c>
      <c r="AL40" t="e">
        <f t="shared" si="9"/>
        <v>#NUM!</v>
      </c>
      <c r="AM40" t="e">
        <f t="shared" si="10"/>
        <v>#NUM!</v>
      </c>
    </row>
    <row r="41" spans="11:78" x14ac:dyDescent="0.3">
      <c r="K41" s="7"/>
      <c r="X41" s="7"/>
      <c r="Z41" s="7"/>
      <c r="AA41" s="7"/>
      <c r="AH41" t="e">
        <f t="shared" si="5"/>
        <v>#NUM!</v>
      </c>
      <c r="AI41" t="e">
        <f t="shared" si="6"/>
        <v>#NUM!</v>
      </c>
      <c r="AJ41" t="e">
        <f t="shared" si="7"/>
        <v>#NUM!</v>
      </c>
      <c r="AK41" t="e">
        <f t="shared" si="8"/>
        <v>#NUM!</v>
      </c>
      <c r="AL41" t="e">
        <f t="shared" si="9"/>
        <v>#NUM!</v>
      </c>
      <c r="AM41" t="e">
        <f t="shared" si="10"/>
        <v>#NUM!</v>
      </c>
    </row>
    <row r="42" spans="11:78" x14ac:dyDescent="0.3">
      <c r="K42" s="7"/>
      <c r="X42" s="7"/>
      <c r="Z42" s="7"/>
      <c r="AA42" s="7"/>
      <c r="AH42" t="e">
        <f t="shared" si="5"/>
        <v>#NUM!</v>
      </c>
      <c r="AI42" t="e">
        <f t="shared" si="6"/>
        <v>#NUM!</v>
      </c>
      <c r="AJ42" t="e">
        <f t="shared" si="7"/>
        <v>#NUM!</v>
      </c>
      <c r="AK42" t="e">
        <f t="shared" si="8"/>
        <v>#NUM!</v>
      </c>
      <c r="AL42" t="e">
        <f t="shared" si="9"/>
        <v>#NUM!</v>
      </c>
      <c r="AM42" t="e">
        <f t="shared" si="10"/>
        <v>#NUM!</v>
      </c>
    </row>
    <row r="43" spans="11:78" x14ac:dyDescent="0.3">
      <c r="K43" s="7"/>
      <c r="X43" s="7"/>
      <c r="Z43" s="7"/>
      <c r="AA43" s="7"/>
      <c r="AH43" t="e">
        <f t="shared" si="5"/>
        <v>#NUM!</v>
      </c>
      <c r="AI43" t="e">
        <f t="shared" si="6"/>
        <v>#NUM!</v>
      </c>
      <c r="AJ43" t="e">
        <f t="shared" si="7"/>
        <v>#NUM!</v>
      </c>
      <c r="AK43" t="e">
        <f t="shared" si="8"/>
        <v>#NUM!</v>
      </c>
      <c r="AL43" t="e">
        <f t="shared" si="9"/>
        <v>#NUM!</v>
      </c>
      <c r="AM43" t="e">
        <f t="shared" si="10"/>
        <v>#NUM!</v>
      </c>
    </row>
    <row r="44" spans="11:78" x14ac:dyDescent="0.3">
      <c r="K44" s="7"/>
      <c r="X44" s="7"/>
      <c r="Z44" s="7"/>
      <c r="AA44" s="7"/>
      <c r="AH44" t="e">
        <f t="shared" si="5"/>
        <v>#NUM!</v>
      </c>
      <c r="AI44" t="e">
        <f t="shared" si="6"/>
        <v>#NUM!</v>
      </c>
      <c r="AJ44" t="e">
        <f t="shared" si="7"/>
        <v>#NUM!</v>
      </c>
      <c r="AK44" t="e">
        <f t="shared" si="8"/>
        <v>#NUM!</v>
      </c>
      <c r="AL44" t="e">
        <f t="shared" si="9"/>
        <v>#NUM!</v>
      </c>
      <c r="AM44" t="e">
        <f t="shared" si="10"/>
        <v>#NUM!</v>
      </c>
      <c r="BL44" s="31"/>
      <c r="BM44" s="31" t="s">
        <v>378</v>
      </c>
      <c r="BN44" s="31" t="s">
        <v>218</v>
      </c>
      <c r="BO44" s="31" t="s">
        <v>217</v>
      </c>
      <c r="BP44" s="31" t="s">
        <v>216</v>
      </c>
      <c r="BQ44" s="31" t="s">
        <v>219</v>
      </c>
      <c r="BR44" s="31" t="s">
        <v>3</v>
      </c>
      <c r="BS44" s="31" t="s">
        <v>366</v>
      </c>
      <c r="BT44" s="31" t="s">
        <v>367</v>
      </c>
      <c r="BU44" s="31" t="s">
        <v>368</v>
      </c>
    </row>
    <row r="45" spans="11:78" x14ac:dyDescent="0.3">
      <c r="K45" s="7"/>
      <c r="X45" s="7"/>
      <c r="Z45" s="7"/>
      <c r="AA45" s="7"/>
      <c r="AH45" t="e">
        <f t="shared" si="5"/>
        <v>#NUM!</v>
      </c>
      <c r="AI45" t="e">
        <f t="shared" si="6"/>
        <v>#NUM!</v>
      </c>
      <c r="AJ45" t="e">
        <f t="shared" si="7"/>
        <v>#NUM!</v>
      </c>
      <c r="AK45" t="e">
        <f t="shared" si="8"/>
        <v>#NUM!</v>
      </c>
      <c r="AL45" t="e">
        <f t="shared" si="9"/>
        <v>#NUM!</v>
      </c>
      <c r="AM45" t="e">
        <f t="shared" si="10"/>
        <v>#NUM!</v>
      </c>
      <c r="BL45" s="31">
        <v>1</v>
      </c>
      <c r="BM45" s="32">
        <f t="shared" ref="BM45:BM56" si="14">DATE(YEAR($D$8),BL45,1)</f>
        <v>44562</v>
      </c>
      <c r="BN45" s="31" cm="1">
        <f t="array" ref="BN45">SUMIFS(TableTrend[positive],TableTrend[month],"="&amp;$BM45,TableTrend[topic],"="&amp;INDEX($C$22:$C$28,$D$3))</f>
        <v>0</v>
      </c>
      <c r="BO45" s="31" cm="1">
        <f t="array" ref="BO45">SUMIFS(TableTrend[neutral],TableTrend[month],"="&amp;$BM45,TableTrend[topic],"="&amp;INDEX($C$22:$C$28,$D$3))</f>
        <v>0</v>
      </c>
      <c r="BP45" s="31" cm="1">
        <f t="array" ref="BP45">SUMIFS(TableTrend[negative],TableTrend[month],"="&amp;$BM45,TableTrend[topic],"="&amp;INDEX($C$22:$C$28,$D$3))</f>
        <v>0</v>
      </c>
      <c r="BQ45" s="31" cm="1">
        <f t="array" ref="BQ45">SUMIFS(TableTrend[total],TableTrend[month],"="&amp;$BM45,TableTrend[topic],"="&amp;INDEX($C$22:$C$28,$D$3))</f>
        <v>0</v>
      </c>
      <c r="BR45" s="31" cm="1">
        <f t="array" ref="BR45">IF($BK$14,IFERROR(SUMIFS(TableTrend[rating_sum],TableTrend[month],"="&amp;$BM45,TableTrend[topic],"="&amp;INDEX($C$22:$C$28,$D$3)) / SUMIFS(TableTrend[rating_count],TableTrend[month],"="&amp;$BM45,TableTrend[topic],"="&amp;INDEX($C$22:$C$28,$D$3)),0),NA())</f>
        <v>0</v>
      </c>
      <c r="BS45" s="33" t="str">
        <f>_xlfn.IFNA(IF($BN45=0,"",$BN45/$BQ45),"")</f>
        <v/>
      </c>
      <c r="BT45" s="33" t="str">
        <f>_xlfn.IFNA(IF($BO45=0,"",$BO45/$BQ45),"")</f>
        <v/>
      </c>
      <c r="BU45" s="33" t="str">
        <f>_xlfn.IFNA(IF($BP45=0,"",$BP45/$BQ45),"")</f>
        <v/>
      </c>
    </row>
    <row r="46" spans="11:78" x14ac:dyDescent="0.3">
      <c r="K46" s="7"/>
      <c r="X46" s="7"/>
      <c r="Z46" s="7"/>
      <c r="AA46" s="7"/>
      <c r="AH46" t="e">
        <f t="shared" si="5"/>
        <v>#NUM!</v>
      </c>
      <c r="AI46" t="e">
        <f t="shared" si="6"/>
        <v>#NUM!</v>
      </c>
      <c r="AJ46" t="e">
        <f t="shared" si="7"/>
        <v>#NUM!</v>
      </c>
      <c r="AK46" t="e">
        <f t="shared" si="8"/>
        <v>#NUM!</v>
      </c>
      <c r="AL46" t="e">
        <f t="shared" si="9"/>
        <v>#NUM!</v>
      </c>
      <c r="AM46" t="e">
        <f t="shared" si="10"/>
        <v>#NUM!</v>
      </c>
      <c r="BL46" s="31">
        <v>2</v>
      </c>
      <c r="BM46" s="32">
        <f t="shared" si="14"/>
        <v>44593</v>
      </c>
      <c r="BN46" s="31" cm="1">
        <f t="array" ref="BN46">SUMIFS(TableTrend[positive],TableTrend[month],"="&amp;$BM46,TableTrend[topic],"="&amp;INDEX($C$22:$C$28,$D$3))</f>
        <v>0</v>
      </c>
      <c r="BO46" s="31" cm="1">
        <f t="array" ref="BO46">SUMIFS(TableTrend[neutral],TableTrend[month],"="&amp;$BM46,TableTrend[topic],"="&amp;INDEX($C$22:$C$28,$D$3))</f>
        <v>0</v>
      </c>
      <c r="BP46" s="31" cm="1">
        <f t="array" ref="BP46">SUMIFS(TableTrend[negative],TableTrend[month],"="&amp;$BM46,TableTrend[topic],"="&amp;INDEX($C$22:$C$28,$D$3))</f>
        <v>0</v>
      </c>
      <c r="BQ46" s="31" cm="1">
        <f t="array" ref="BQ46">SUMIFS(TableTrend[total],TableTrend[month],"="&amp;$BM46,TableTrend[topic],"="&amp;INDEX($C$22:$C$28,$D$3))</f>
        <v>0</v>
      </c>
      <c r="BR46" s="31" cm="1">
        <f t="array" ref="BR46">IF($BK$14,IFERROR(SUMIFS(TableTrend[rating_sum],TableTrend[month],"="&amp;$BM46,TableTrend[topic],"="&amp;INDEX($C$22:$C$28,$D$3)) / SUMIFS(TableTrend[rating_count],TableTrend[month],"="&amp;$BM46,TableTrend[topic],"="&amp;INDEX($C$22:$C$28,$D$3)),0),NA())</f>
        <v>0</v>
      </c>
      <c r="BS46" s="33" t="str">
        <f t="shared" ref="BS46:BS56" si="15">_xlfn.IFNA(IF($BN46=0,"",$BN46/$BQ46),"")</f>
        <v/>
      </c>
      <c r="BT46" s="33" t="str">
        <f t="shared" ref="BT46:BT56" si="16">_xlfn.IFNA(IF($BO46=0,"",$BO46/$BQ46),"")</f>
        <v/>
      </c>
      <c r="BU46" s="33" t="str">
        <f t="shared" ref="BU46:BU56" si="17">_xlfn.IFNA(IF($BP46=0,"",$BP46/$BQ46),"")</f>
        <v/>
      </c>
    </row>
    <row r="47" spans="11:78" x14ac:dyDescent="0.3">
      <c r="K47" s="7"/>
      <c r="X47" s="7"/>
      <c r="Z47" s="7"/>
      <c r="AA47" s="7"/>
      <c r="AH47" t="e">
        <f t="shared" si="5"/>
        <v>#NUM!</v>
      </c>
      <c r="AI47" t="e">
        <f t="shared" si="6"/>
        <v>#NUM!</v>
      </c>
      <c r="AJ47" t="e">
        <f t="shared" si="7"/>
        <v>#NUM!</v>
      </c>
      <c r="AK47" t="e">
        <f t="shared" si="8"/>
        <v>#NUM!</v>
      </c>
      <c r="AL47" t="e">
        <f t="shared" si="9"/>
        <v>#NUM!</v>
      </c>
      <c r="AM47" t="e">
        <f t="shared" si="10"/>
        <v>#NUM!</v>
      </c>
      <c r="BL47" s="31">
        <v>3</v>
      </c>
      <c r="BM47" s="32">
        <f t="shared" si="14"/>
        <v>44621</v>
      </c>
      <c r="BN47" s="31" cm="1">
        <f t="array" ref="BN47">SUMIFS(TableTrend[positive],TableTrend[month],"="&amp;$BM47,TableTrend[topic],"="&amp;INDEX($C$22:$C$28,$D$3))</f>
        <v>0</v>
      </c>
      <c r="BO47" s="31" cm="1">
        <f t="array" ref="BO47">SUMIFS(TableTrend[neutral],TableTrend[month],"="&amp;$BM47,TableTrend[topic],"="&amp;INDEX($C$22:$C$28,$D$3))</f>
        <v>0</v>
      </c>
      <c r="BP47" s="31" cm="1">
        <f t="array" ref="BP47">SUMIFS(TableTrend[negative],TableTrend[month],"="&amp;$BM47,TableTrend[topic],"="&amp;INDEX($C$22:$C$28,$D$3))</f>
        <v>0</v>
      </c>
      <c r="BQ47" s="31" cm="1">
        <f t="array" ref="BQ47">SUMIFS(TableTrend[total],TableTrend[month],"="&amp;$BM47,TableTrend[topic],"="&amp;INDEX($C$22:$C$28,$D$3))</f>
        <v>0</v>
      </c>
      <c r="BR47" s="31" cm="1">
        <f t="array" ref="BR47">IF($BK$14,IFERROR(SUMIFS(TableTrend[rating_sum],TableTrend[month],"="&amp;$BM47,TableTrend[topic],"="&amp;INDEX($C$22:$C$28,$D$3)) / SUMIFS(TableTrend[rating_count],TableTrend[month],"="&amp;$BM47,TableTrend[topic],"="&amp;INDEX($C$22:$C$28,$D$3)),0),NA())</f>
        <v>0</v>
      </c>
      <c r="BS47" s="33" t="str">
        <f t="shared" si="15"/>
        <v/>
      </c>
      <c r="BT47" s="33" t="str">
        <f t="shared" si="16"/>
        <v/>
      </c>
      <c r="BU47" s="33" t="str">
        <f t="shared" si="17"/>
        <v/>
      </c>
    </row>
    <row r="48" spans="11:78" x14ac:dyDescent="0.3">
      <c r="K48" s="7"/>
      <c r="X48" s="7"/>
      <c r="Z48" s="7"/>
      <c r="AA48" s="7"/>
      <c r="AH48" t="e">
        <f t="shared" si="5"/>
        <v>#NUM!</v>
      </c>
      <c r="AI48" t="e">
        <f t="shared" si="6"/>
        <v>#NUM!</v>
      </c>
      <c r="AJ48" t="e">
        <f t="shared" si="7"/>
        <v>#NUM!</v>
      </c>
      <c r="AK48" t="e">
        <f t="shared" si="8"/>
        <v>#NUM!</v>
      </c>
      <c r="AL48" t="e">
        <f t="shared" si="9"/>
        <v>#NUM!</v>
      </c>
      <c r="AM48" t="e">
        <f t="shared" si="10"/>
        <v>#NUM!</v>
      </c>
      <c r="BL48" s="31">
        <v>4</v>
      </c>
      <c r="BM48" s="32">
        <f t="shared" si="14"/>
        <v>44652</v>
      </c>
      <c r="BN48" s="31" cm="1">
        <f t="array" ref="BN48">SUMIFS(TableTrend[positive],TableTrend[month],"="&amp;$BM48,TableTrend[topic],"="&amp;INDEX($C$22:$C$28,$D$3))</f>
        <v>0</v>
      </c>
      <c r="BO48" s="31" cm="1">
        <f t="array" ref="BO48">SUMIFS(TableTrend[neutral],TableTrend[month],"="&amp;$BM48,TableTrend[topic],"="&amp;INDEX($C$22:$C$28,$D$3))</f>
        <v>0</v>
      </c>
      <c r="BP48" s="31" cm="1">
        <f t="array" ref="BP48">SUMIFS(TableTrend[negative],TableTrend[month],"="&amp;$BM48,TableTrend[topic],"="&amp;INDEX($C$22:$C$28,$D$3))</f>
        <v>0</v>
      </c>
      <c r="BQ48" s="31" cm="1">
        <f t="array" ref="BQ48">SUMIFS(TableTrend[total],TableTrend[month],"="&amp;$BM48,TableTrend[topic],"="&amp;INDEX($C$22:$C$28,$D$3))</f>
        <v>0</v>
      </c>
      <c r="BR48" s="31" cm="1">
        <f t="array" ref="BR48">IF($BK$14,IFERROR(SUMIFS(TableTrend[rating_sum],TableTrend[month],"="&amp;$BM48,TableTrend[topic],"="&amp;INDEX($C$22:$C$28,$D$3)) / SUMIFS(TableTrend[rating_count],TableTrend[month],"="&amp;$BM48,TableTrend[topic],"="&amp;INDEX($C$22:$C$28,$D$3)),0),NA())</f>
        <v>0</v>
      </c>
      <c r="BS48" s="33" t="str">
        <f t="shared" si="15"/>
        <v/>
      </c>
      <c r="BT48" s="33" t="str">
        <f t="shared" si="16"/>
        <v/>
      </c>
      <c r="BU48" s="33" t="str">
        <f t="shared" si="17"/>
        <v/>
      </c>
    </row>
    <row r="49" spans="11:73" x14ac:dyDescent="0.3">
      <c r="K49" s="7"/>
      <c r="X49" s="7"/>
      <c r="Z49" s="7"/>
      <c r="AA49" s="7"/>
      <c r="AH49" t="e">
        <f t="shared" si="5"/>
        <v>#NUM!</v>
      </c>
      <c r="AI49" t="e">
        <f t="shared" si="6"/>
        <v>#NUM!</v>
      </c>
      <c r="AJ49" t="e">
        <f t="shared" si="7"/>
        <v>#NUM!</v>
      </c>
      <c r="AK49" t="e">
        <f t="shared" si="8"/>
        <v>#NUM!</v>
      </c>
      <c r="AL49" t="e">
        <f t="shared" si="9"/>
        <v>#NUM!</v>
      </c>
      <c r="AM49" t="e">
        <f t="shared" si="10"/>
        <v>#NUM!</v>
      </c>
      <c r="BL49" s="31">
        <v>5</v>
      </c>
      <c r="BM49" s="32">
        <f t="shared" si="14"/>
        <v>44682</v>
      </c>
      <c r="BN49" s="31" cm="1">
        <f t="array" ref="BN49">SUMIFS(TableTrend[positive],TableTrend[month],"="&amp;$BM49,TableTrend[topic],"="&amp;INDEX($C$22:$C$28,$D$3))</f>
        <v>0</v>
      </c>
      <c r="BO49" s="31" cm="1">
        <f t="array" ref="BO49">SUMIFS(TableTrend[neutral],TableTrend[month],"="&amp;$BM49,TableTrend[topic],"="&amp;INDEX($C$22:$C$28,$D$3))</f>
        <v>0</v>
      </c>
      <c r="BP49" s="31" cm="1">
        <f t="array" ref="BP49">SUMIFS(TableTrend[negative],TableTrend[month],"="&amp;$BM49,TableTrend[topic],"="&amp;INDEX($C$22:$C$28,$D$3))</f>
        <v>0</v>
      </c>
      <c r="BQ49" s="31" cm="1">
        <f t="array" ref="BQ49">SUMIFS(TableTrend[total],TableTrend[month],"="&amp;$BM49,TableTrend[topic],"="&amp;INDEX($C$22:$C$28,$D$3))</f>
        <v>0</v>
      </c>
      <c r="BR49" s="31" cm="1">
        <f t="array" ref="BR49">IF($BK$14,IFERROR(SUMIFS(TableTrend[rating_sum],TableTrend[month],"="&amp;$BM49,TableTrend[topic],"="&amp;INDEX($C$22:$C$28,$D$3)) / SUMIFS(TableTrend[rating_count],TableTrend[month],"="&amp;$BM49,TableTrend[topic],"="&amp;INDEX($C$22:$C$28,$D$3)),0),NA())</f>
        <v>0</v>
      </c>
      <c r="BS49" s="33" t="str">
        <f t="shared" si="15"/>
        <v/>
      </c>
      <c r="BT49" s="33" t="str">
        <f t="shared" si="16"/>
        <v/>
      </c>
      <c r="BU49" s="33" t="str">
        <f t="shared" si="17"/>
        <v/>
      </c>
    </row>
    <row r="50" spans="11:73" x14ac:dyDescent="0.3">
      <c r="K50" s="7"/>
      <c r="X50" s="7"/>
      <c r="Z50" s="7"/>
      <c r="AA50" s="7"/>
      <c r="AH50" t="e">
        <f t="shared" si="5"/>
        <v>#NUM!</v>
      </c>
      <c r="AI50" t="e">
        <f t="shared" si="6"/>
        <v>#NUM!</v>
      </c>
      <c r="AJ50" t="e">
        <f t="shared" si="7"/>
        <v>#NUM!</v>
      </c>
      <c r="AK50" t="e">
        <f t="shared" si="8"/>
        <v>#NUM!</v>
      </c>
      <c r="AL50" t="e">
        <f t="shared" si="9"/>
        <v>#NUM!</v>
      </c>
      <c r="AM50" t="e">
        <f t="shared" si="10"/>
        <v>#NUM!</v>
      </c>
      <c r="BL50" s="31">
        <v>6</v>
      </c>
      <c r="BM50" s="32">
        <f t="shared" si="14"/>
        <v>44713</v>
      </c>
      <c r="BN50" s="31" cm="1">
        <f t="array" ref="BN50">SUMIFS(TableTrend[positive],TableTrend[month],"="&amp;$BM50,TableTrend[topic],"="&amp;INDEX($C$22:$C$28,$D$3))</f>
        <v>0</v>
      </c>
      <c r="BO50" s="31" cm="1">
        <f t="array" ref="BO50">SUMIFS(TableTrend[neutral],TableTrend[month],"="&amp;$BM50,TableTrend[topic],"="&amp;INDEX($C$22:$C$28,$D$3))</f>
        <v>0</v>
      </c>
      <c r="BP50" s="31" cm="1">
        <f t="array" ref="BP50">SUMIFS(TableTrend[negative],TableTrend[month],"="&amp;$BM50,TableTrend[topic],"="&amp;INDEX($C$22:$C$28,$D$3))</f>
        <v>0</v>
      </c>
      <c r="BQ50" s="31" cm="1">
        <f t="array" ref="BQ50">SUMIFS(TableTrend[total],TableTrend[month],"="&amp;$BM50,TableTrend[topic],"="&amp;INDEX($C$22:$C$28,$D$3))</f>
        <v>0</v>
      </c>
      <c r="BR50" s="31" cm="1">
        <f t="array" ref="BR50">IF($BK$14,IFERROR(SUMIFS(TableTrend[rating_sum],TableTrend[month],"="&amp;$BM50,TableTrend[topic],"="&amp;INDEX($C$22:$C$28,$D$3)) / SUMIFS(TableTrend[rating_count],TableTrend[month],"="&amp;$BM50,TableTrend[topic],"="&amp;INDEX($C$22:$C$28,$D$3)),0),NA())</f>
        <v>0</v>
      </c>
      <c r="BS50" s="33" t="str">
        <f t="shared" si="15"/>
        <v/>
      </c>
      <c r="BT50" s="33" t="str">
        <f t="shared" si="16"/>
        <v/>
      </c>
      <c r="BU50" s="33" t="str">
        <f t="shared" si="17"/>
        <v/>
      </c>
    </row>
    <row r="51" spans="11:73" x14ac:dyDescent="0.3">
      <c r="K51" s="7"/>
      <c r="X51" s="7"/>
      <c r="Z51" s="7"/>
      <c r="AA51" s="7"/>
      <c r="AH51" t="e">
        <f t="shared" si="5"/>
        <v>#NUM!</v>
      </c>
      <c r="AI51" t="e">
        <f t="shared" si="6"/>
        <v>#NUM!</v>
      </c>
      <c r="AJ51" t="e">
        <f t="shared" si="7"/>
        <v>#NUM!</v>
      </c>
      <c r="AK51" t="e">
        <f t="shared" si="8"/>
        <v>#NUM!</v>
      </c>
      <c r="AL51" t="e">
        <f t="shared" si="9"/>
        <v>#NUM!</v>
      </c>
      <c r="AM51" t="e">
        <f t="shared" si="10"/>
        <v>#NUM!</v>
      </c>
      <c r="BL51" s="31">
        <v>7</v>
      </c>
      <c r="BM51" s="32">
        <f t="shared" si="14"/>
        <v>44743</v>
      </c>
      <c r="BN51" s="31" cm="1">
        <f t="array" ref="BN51">SUMIFS(TableTrend[positive],TableTrend[month],"="&amp;$BM51,TableTrend[topic],"="&amp;INDEX($C$22:$C$28,$D$3))</f>
        <v>0</v>
      </c>
      <c r="BO51" s="31" cm="1">
        <f t="array" ref="BO51">SUMIFS(TableTrend[neutral],TableTrend[month],"="&amp;$BM51,TableTrend[topic],"="&amp;INDEX($C$22:$C$28,$D$3))</f>
        <v>0</v>
      </c>
      <c r="BP51" s="31" cm="1">
        <f t="array" ref="BP51">SUMIFS(TableTrend[negative],TableTrend[month],"="&amp;$BM51,TableTrend[topic],"="&amp;INDEX($C$22:$C$28,$D$3))</f>
        <v>0</v>
      </c>
      <c r="BQ51" s="31" cm="1">
        <f t="array" ref="BQ51">SUMIFS(TableTrend[total],TableTrend[month],"="&amp;$BM51,TableTrend[topic],"="&amp;INDEX($C$22:$C$28,$D$3))</f>
        <v>0</v>
      </c>
      <c r="BR51" s="31" cm="1">
        <f t="array" ref="BR51">IF($BK$14,IFERROR(SUMIFS(TableTrend[rating_sum],TableTrend[month],"="&amp;$BM51,TableTrend[topic],"="&amp;INDEX($C$22:$C$28,$D$3)) / SUMIFS(TableTrend[rating_count],TableTrend[month],"="&amp;$BM51,TableTrend[topic],"="&amp;INDEX($C$22:$C$28,$D$3)),0),NA())</f>
        <v>0</v>
      </c>
      <c r="BS51" s="33" t="str">
        <f t="shared" si="15"/>
        <v/>
      </c>
      <c r="BT51" s="33" t="str">
        <f t="shared" si="16"/>
        <v/>
      </c>
      <c r="BU51" s="33" t="str">
        <f t="shared" si="17"/>
        <v/>
      </c>
    </row>
    <row r="52" spans="11:73" x14ac:dyDescent="0.3">
      <c r="K52" s="7"/>
      <c r="X52" s="7"/>
      <c r="Y52"/>
      <c r="AH52" t="e">
        <f t="shared" si="5"/>
        <v>#NUM!</v>
      </c>
      <c r="AI52" t="e">
        <f t="shared" si="6"/>
        <v>#NUM!</v>
      </c>
      <c r="AJ52" t="e">
        <f t="shared" si="7"/>
        <v>#NUM!</v>
      </c>
      <c r="AK52" t="e">
        <f t="shared" si="8"/>
        <v>#NUM!</v>
      </c>
      <c r="AL52" t="e">
        <f t="shared" si="9"/>
        <v>#NUM!</v>
      </c>
      <c r="AM52" t="e">
        <f t="shared" si="10"/>
        <v>#NUM!</v>
      </c>
      <c r="BL52" s="31">
        <v>8</v>
      </c>
      <c r="BM52" s="32">
        <f t="shared" si="14"/>
        <v>44774</v>
      </c>
      <c r="BN52" s="31" cm="1">
        <f t="array" ref="BN52">SUMIFS(TableTrend[positive],TableTrend[month],"="&amp;$BM52,TableTrend[topic],"="&amp;INDEX($C$22:$C$28,$D$3))</f>
        <v>0</v>
      </c>
      <c r="BO52" s="31" cm="1">
        <f t="array" ref="BO52">SUMIFS(TableTrend[neutral],TableTrend[month],"="&amp;$BM52,TableTrend[topic],"="&amp;INDEX($C$22:$C$28,$D$3))</f>
        <v>0</v>
      </c>
      <c r="BP52" s="31" cm="1">
        <f t="array" ref="BP52">SUMIFS(TableTrend[negative],TableTrend[month],"="&amp;$BM52,TableTrend[topic],"="&amp;INDEX($C$22:$C$28,$D$3))</f>
        <v>0</v>
      </c>
      <c r="BQ52" s="31" cm="1">
        <f t="array" ref="BQ52">SUMIFS(TableTrend[total],TableTrend[month],"="&amp;$BM52,TableTrend[topic],"="&amp;INDEX($C$22:$C$28,$D$3))</f>
        <v>0</v>
      </c>
      <c r="BR52" s="31" cm="1">
        <f t="array" ref="BR52">IF($BK$14,IFERROR(SUMIFS(TableTrend[rating_sum],TableTrend[month],"="&amp;$BM52,TableTrend[topic],"="&amp;INDEX($C$22:$C$28,$D$3)) / SUMIFS(TableTrend[rating_count],TableTrend[month],"="&amp;$BM52,TableTrend[topic],"="&amp;INDEX($C$22:$C$28,$D$3)),0),NA())</f>
        <v>0</v>
      </c>
      <c r="BS52" s="33" t="str">
        <f t="shared" si="15"/>
        <v/>
      </c>
      <c r="BT52" s="33" t="str">
        <f t="shared" si="16"/>
        <v/>
      </c>
      <c r="BU52" s="33" t="str">
        <f t="shared" si="17"/>
        <v/>
      </c>
    </row>
    <row r="53" spans="11:73" x14ac:dyDescent="0.3">
      <c r="K53" s="7"/>
      <c r="X53" s="7"/>
      <c r="Y53"/>
      <c r="AH53" t="e">
        <f t="shared" si="5"/>
        <v>#NUM!</v>
      </c>
      <c r="AI53" t="e">
        <f t="shared" si="6"/>
        <v>#NUM!</v>
      </c>
      <c r="AJ53" t="e">
        <f t="shared" si="7"/>
        <v>#NUM!</v>
      </c>
      <c r="AK53" t="e">
        <f t="shared" si="8"/>
        <v>#NUM!</v>
      </c>
      <c r="AL53" t="e">
        <f t="shared" si="9"/>
        <v>#NUM!</v>
      </c>
      <c r="AM53" t="e">
        <f t="shared" si="10"/>
        <v>#NUM!</v>
      </c>
      <c r="BL53" s="31">
        <v>9</v>
      </c>
      <c r="BM53" s="32">
        <f t="shared" si="14"/>
        <v>44805</v>
      </c>
      <c r="BN53" s="31" cm="1">
        <f t="array" ref="BN53">SUMIFS(TableTrend[positive],TableTrend[month],"="&amp;$BM53,TableTrend[topic],"="&amp;INDEX($C$22:$C$28,$D$3))</f>
        <v>0</v>
      </c>
      <c r="BO53" s="31" cm="1">
        <f t="array" ref="BO53">SUMIFS(TableTrend[neutral],TableTrend[month],"="&amp;$BM53,TableTrend[topic],"="&amp;INDEX($C$22:$C$28,$D$3))</f>
        <v>0</v>
      </c>
      <c r="BP53" s="31" cm="1">
        <f t="array" ref="BP53">SUMIFS(TableTrend[negative],TableTrend[month],"="&amp;$BM53,TableTrend[topic],"="&amp;INDEX($C$22:$C$28,$D$3))</f>
        <v>0</v>
      </c>
      <c r="BQ53" s="31" cm="1">
        <f t="array" ref="BQ53">SUMIFS(TableTrend[total],TableTrend[month],"="&amp;$BM53,TableTrend[topic],"="&amp;INDEX($C$22:$C$28,$D$3))</f>
        <v>0</v>
      </c>
      <c r="BR53" s="31" cm="1">
        <f t="array" ref="BR53">IF($BK$14,IFERROR(SUMIFS(TableTrend[rating_sum],TableTrend[month],"="&amp;$BM53,TableTrend[topic],"="&amp;INDEX($C$22:$C$28,$D$3)) / SUMIFS(TableTrend[rating_count],TableTrend[month],"="&amp;$BM53,TableTrend[topic],"="&amp;INDEX($C$22:$C$28,$D$3)),0),NA())</f>
        <v>0</v>
      </c>
      <c r="BS53" s="33" t="str">
        <f t="shared" si="15"/>
        <v/>
      </c>
      <c r="BT53" s="33" t="str">
        <f t="shared" si="16"/>
        <v/>
      </c>
      <c r="BU53" s="33" t="str">
        <f t="shared" si="17"/>
        <v/>
      </c>
    </row>
    <row r="54" spans="11:73" x14ac:dyDescent="0.3">
      <c r="K54" s="7"/>
      <c r="X54" s="7"/>
      <c r="Y54"/>
      <c r="AH54" t="e">
        <f t="shared" si="5"/>
        <v>#NUM!</v>
      </c>
      <c r="AI54" t="e">
        <f t="shared" si="6"/>
        <v>#NUM!</v>
      </c>
      <c r="AJ54" t="e">
        <f t="shared" si="7"/>
        <v>#NUM!</v>
      </c>
      <c r="AK54" t="e">
        <f t="shared" si="8"/>
        <v>#NUM!</v>
      </c>
      <c r="AL54" t="e">
        <f t="shared" si="9"/>
        <v>#NUM!</v>
      </c>
      <c r="AM54" t="e">
        <f t="shared" si="10"/>
        <v>#NUM!</v>
      </c>
      <c r="BL54" s="31">
        <v>10</v>
      </c>
      <c r="BM54" s="32">
        <f t="shared" si="14"/>
        <v>44835</v>
      </c>
      <c r="BN54" s="31" cm="1">
        <f t="array" ref="BN54">SUMIFS(TableTrend[positive],TableTrend[month],"="&amp;$BM54,TableTrend[topic],"="&amp;INDEX($C$22:$C$28,$D$3))</f>
        <v>0</v>
      </c>
      <c r="BO54" s="31" cm="1">
        <f t="array" ref="BO54">SUMIFS(TableTrend[neutral],TableTrend[month],"="&amp;$BM54,TableTrend[topic],"="&amp;INDEX($C$22:$C$28,$D$3))</f>
        <v>0</v>
      </c>
      <c r="BP54" s="31" cm="1">
        <f t="array" ref="BP54">SUMIFS(TableTrend[negative],TableTrend[month],"="&amp;$BM54,TableTrend[topic],"="&amp;INDEX($C$22:$C$28,$D$3))</f>
        <v>0</v>
      </c>
      <c r="BQ54" s="31" cm="1">
        <f t="array" ref="BQ54">SUMIFS(TableTrend[total],TableTrend[month],"="&amp;$BM54,TableTrend[topic],"="&amp;INDEX($C$22:$C$28,$D$3))</f>
        <v>0</v>
      </c>
      <c r="BR54" s="31" cm="1">
        <f t="array" ref="BR54">IF($BK$14,IFERROR(SUMIFS(TableTrend[rating_sum],TableTrend[month],"="&amp;$BM54,TableTrend[topic],"="&amp;INDEX($C$22:$C$28,$D$3)) / SUMIFS(TableTrend[rating_count],TableTrend[month],"="&amp;$BM54,TableTrend[topic],"="&amp;INDEX($C$22:$C$28,$D$3)),0),NA())</f>
        <v>0</v>
      </c>
      <c r="BS54" s="33" t="str">
        <f t="shared" si="15"/>
        <v/>
      </c>
      <c r="BT54" s="33" t="str">
        <f t="shared" si="16"/>
        <v/>
      </c>
      <c r="BU54" s="33" t="str">
        <f t="shared" si="17"/>
        <v/>
      </c>
    </row>
    <row r="55" spans="11:73" x14ac:dyDescent="0.3">
      <c r="K55" s="7"/>
      <c r="X55" s="7"/>
      <c r="Y55"/>
      <c r="AH55" t="e">
        <f t="shared" si="5"/>
        <v>#NUM!</v>
      </c>
      <c r="AI55" t="e">
        <f t="shared" si="6"/>
        <v>#NUM!</v>
      </c>
      <c r="AJ55" t="e">
        <f t="shared" si="7"/>
        <v>#NUM!</v>
      </c>
      <c r="AK55" t="e">
        <f t="shared" si="8"/>
        <v>#NUM!</v>
      </c>
      <c r="AL55" t="e">
        <f t="shared" si="9"/>
        <v>#NUM!</v>
      </c>
      <c r="AM55" t="e">
        <f t="shared" si="10"/>
        <v>#NUM!</v>
      </c>
      <c r="BL55" s="31">
        <v>11</v>
      </c>
      <c r="BM55" s="32">
        <f t="shared" si="14"/>
        <v>44866</v>
      </c>
      <c r="BN55" s="31" cm="1">
        <f t="array" ref="BN55">SUMIFS(TableTrend[positive],TableTrend[month],"="&amp;$BM55,TableTrend[topic],"="&amp;INDEX($C$22:$C$28,$D$3))</f>
        <v>0</v>
      </c>
      <c r="BO55" s="31" cm="1">
        <f t="array" ref="BO55">SUMIFS(TableTrend[neutral],TableTrend[month],"="&amp;$BM55,TableTrend[topic],"="&amp;INDEX($C$22:$C$28,$D$3))</f>
        <v>0</v>
      </c>
      <c r="BP55" s="31" cm="1">
        <f t="array" ref="BP55">SUMIFS(TableTrend[negative],TableTrend[month],"="&amp;$BM55,TableTrend[topic],"="&amp;INDEX($C$22:$C$28,$D$3))</f>
        <v>0</v>
      </c>
      <c r="BQ55" s="31" cm="1">
        <f t="array" ref="BQ55">SUMIFS(TableTrend[total],TableTrend[month],"="&amp;$BM55,TableTrend[topic],"="&amp;INDEX($C$22:$C$28,$D$3))</f>
        <v>0</v>
      </c>
      <c r="BR55" s="31" cm="1">
        <f t="array" ref="BR55">IF($BK$14,IFERROR(SUMIFS(TableTrend[rating_sum],TableTrend[month],"="&amp;$BM55,TableTrend[topic],"="&amp;INDEX($C$22:$C$28,$D$3)) / SUMIFS(TableTrend[rating_count],TableTrend[month],"="&amp;$BM55,TableTrend[topic],"="&amp;INDEX($C$22:$C$28,$D$3)),0),NA())</f>
        <v>0</v>
      </c>
      <c r="BS55" s="33" t="str">
        <f t="shared" si="15"/>
        <v/>
      </c>
      <c r="BT55" s="33" t="str">
        <f t="shared" si="16"/>
        <v/>
      </c>
      <c r="BU55" s="33" t="str">
        <f t="shared" si="17"/>
        <v/>
      </c>
    </row>
    <row r="56" spans="11:73" x14ac:dyDescent="0.3">
      <c r="K56" s="7"/>
      <c r="X56" s="7"/>
      <c r="Y56"/>
      <c r="AH56" t="e">
        <f t="shared" si="5"/>
        <v>#NUM!</v>
      </c>
      <c r="AI56" t="e">
        <f t="shared" si="6"/>
        <v>#NUM!</v>
      </c>
      <c r="AJ56" t="e">
        <f t="shared" si="7"/>
        <v>#NUM!</v>
      </c>
      <c r="AK56" t="e">
        <f t="shared" si="8"/>
        <v>#NUM!</v>
      </c>
      <c r="AL56" t="e">
        <f t="shared" si="9"/>
        <v>#NUM!</v>
      </c>
      <c r="AM56" t="e">
        <f t="shared" si="10"/>
        <v>#NUM!</v>
      </c>
      <c r="BL56" s="31">
        <v>12</v>
      </c>
      <c r="BM56" s="32">
        <f t="shared" si="14"/>
        <v>44896</v>
      </c>
      <c r="BN56" s="31" cm="1">
        <f t="array" ref="BN56">SUMIFS(TableTrend[positive],TableTrend[month],"="&amp;$BM56,TableTrend[topic],"="&amp;INDEX($C$22:$C$28,$D$3))</f>
        <v>0</v>
      </c>
      <c r="BO56" s="31" cm="1">
        <f t="array" ref="BO56">SUMIFS(TableTrend[neutral],TableTrend[month],"="&amp;$BM56,TableTrend[topic],"="&amp;INDEX($C$22:$C$28,$D$3))</f>
        <v>0</v>
      </c>
      <c r="BP56" s="31" cm="1">
        <f t="array" ref="BP56">SUMIFS(TableTrend[negative],TableTrend[month],"="&amp;$BM56,TableTrend[topic],"="&amp;INDEX($C$22:$C$28,$D$3))</f>
        <v>3</v>
      </c>
      <c r="BQ56" s="31" cm="1">
        <f t="array" ref="BQ56">SUMIFS(TableTrend[total],TableTrend[month],"="&amp;$BM56,TableTrend[topic],"="&amp;INDEX($C$22:$C$28,$D$3))</f>
        <v>3</v>
      </c>
      <c r="BR56" s="31" cm="1">
        <f t="array" ref="BR56">IF($BK$14,IFERROR(SUMIFS(TableTrend[rating_sum],TableTrend[month],"="&amp;$BM56,TableTrend[topic],"="&amp;INDEX($C$22:$C$28,$D$3)) / SUMIFS(TableTrend[rating_count],TableTrend[month],"="&amp;$BM56,TableTrend[topic],"="&amp;INDEX($C$22:$C$28,$D$3)),0),NA())</f>
        <v>2.3333333333333335</v>
      </c>
      <c r="BS56" s="33" t="str">
        <f t="shared" si="15"/>
        <v/>
      </c>
      <c r="BT56" s="33" t="str">
        <f t="shared" si="16"/>
        <v/>
      </c>
      <c r="BU56" s="33">
        <f t="shared" si="17"/>
        <v>1</v>
      </c>
    </row>
    <row r="57" spans="11:73" x14ac:dyDescent="0.3">
      <c r="K57" s="7"/>
      <c r="X57" s="7"/>
      <c r="Y57"/>
      <c r="AH57" t="e">
        <f t="shared" si="5"/>
        <v>#NUM!</v>
      </c>
      <c r="AI57" t="e">
        <f t="shared" si="6"/>
        <v>#NUM!</v>
      </c>
      <c r="AJ57" t="e">
        <f t="shared" si="7"/>
        <v>#NUM!</v>
      </c>
      <c r="AK57" t="e">
        <f t="shared" si="8"/>
        <v>#NUM!</v>
      </c>
      <c r="AL57" t="e">
        <f t="shared" si="9"/>
        <v>#NUM!</v>
      </c>
      <c r="AM57" t="e">
        <f t="shared" si="10"/>
        <v>#NUM!</v>
      </c>
    </row>
    <row r="58" spans="11:73" x14ac:dyDescent="0.3">
      <c r="K58" s="7"/>
      <c r="X58" s="7"/>
      <c r="Y58"/>
      <c r="AH58" t="e">
        <f t="shared" si="5"/>
        <v>#NUM!</v>
      </c>
      <c r="AI58" t="e">
        <f t="shared" si="6"/>
        <v>#NUM!</v>
      </c>
      <c r="AJ58" t="e">
        <f t="shared" si="7"/>
        <v>#NUM!</v>
      </c>
      <c r="AK58" t="e">
        <f t="shared" si="8"/>
        <v>#NUM!</v>
      </c>
      <c r="AL58" t="e">
        <f t="shared" si="9"/>
        <v>#NUM!</v>
      </c>
      <c r="AM58" t="e">
        <f t="shared" si="10"/>
        <v>#NUM!</v>
      </c>
    </row>
    <row r="59" spans="11:73" x14ac:dyDescent="0.3">
      <c r="K59" s="7"/>
      <c r="X59" s="7"/>
      <c r="Y59"/>
      <c r="AH59" t="e">
        <f t="shared" si="5"/>
        <v>#NUM!</v>
      </c>
      <c r="AI59" t="e">
        <f t="shared" si="6"/>
        <v>#NUM!</v>
      </c>
      <c r="AJ59" t="e">
        <f t="shared" si="7"/>
        <v>#NUM!</v>
      </c>
      <c r="AK59" t="e">
        <f t="shared" si="8"/>
        <v>#NUM!</v>
      </c>
      <c r="AL59" t="e">
        <f t="shared" si="9"/>
        <v>#NUM!</v>
      </c>
      <c r="AM59" t="e">
        <f t="shared" si="10"/>
        <v>#NUM!</v>
      </c>
    </row>
    <row r="60" spans="11:73" x14ac:dyDescent="0.3">
      <c r="K60" s="7"/>
      <c r="X60" s="7"/>
      <c r="Y60"/>
      <c r="AH60" t="e">
        <f t="shared" si="5"/>
        <v>#NUM!</v>
      </c>
      <c r="AI60" t="e">
        <f t="shared" si="6"/>
        <v>#NUM!</v>
      </c>
      <c r="AJ60" t="e">
        <f t="shared" si="7"/>
        <v>#NUM!</v>
      </c>
      <c r="AK60" t="e">
        <f t="shared" si="8"/>
        <v>#NUM!</v>
      </c>
      <c r="AL60" t="e">
        <f t="shared" si="9"/>
        <v>#NUM!</v>
      </c>
      <c r="AM60" t="e">
        <f t="shared" si="10"/>
        <v>#NUM!</v>
      </c>
      <c r="BL60" s="31"/>
      <c r="BM60" s="31" t="s">
        <v>380</v>
      </c>
      <c r="BN60" s="31" t="s">
        <v>218</v>
      </c>
      <c r="BO60" s="31" t="s">
        <v>217</v>
      </c>
      <c r="BP60" s="31" t="s">
        <v>216</v>
      </c>
      <c r="BQ60" s="31" t="s">
        <v>219</v>
      </c>
      <c r="BR60" s="31" t="s">
        <v>3</v>
      </c>
      <c r="BS60" s="31" t="s">
        <v>366</v>
      </c>
      <c r="BT60" s="31" t="s">
        <v>367</v>
      </c>
      <c r="BU60" s="31" t="s">
        <v>368</v>
      </c>
    </row>
    <row r="61" spans="11:73" x14ac:dyDescent="0.3">
      <c r="K61" s="7"/>
      <c r="X61" s="7"/>
      <c r="Y61"/>
      <c r="AH61" t="e">
        <f t="shared" si="5"/>
        <v>#NUM!</v>
      </c>
      <c r="AI61" t="e">
        <f t="shared" si="6"/>
        <v>#NUM!</v>
      </c>
      <c r="AJ61" t="e">
        <f t="shared" si="7"/>
        <v>#NUM!</v>
      </c>
      <c r="AK61" t="e">
        <f t="shared" si="8"/>
        <v>#NUM!</v>
      </c>
      <c r="AL61" t="e">
        <f t="shared" si="9"/>
        <v>#NUM!</v>
      </c>
      <c r="AM61" t="e">
        <f t="shared" si="10"/>
        <v>#NUM!</v>
      </c>
      <c r="BL61" s="31">
        <v>1</v>
      </c>
      <c r="BM61" s="32">
        <f>DATE(YEAR($D$8)-BL61,1,1)</f>
        <v>44197</v>
      </c>
      <c r="BN61" s="31" cm="1">
        <f t="array" ref="BN61">SUMIFS(TableTrend[positive],TableTrend[year],"="&amp;$BM61,TableTrend[topic],"="&amp;INDEX($C$22:$C$28,$D$3))</f>
        <v>0</v>
      </c>
      <c r="BO61" s="31" cm="1">
        <f t="array" ref="BO61">SUMIFS(TableTrend[neutral],TableTrend[year],"="&amp;$BM61,TableTrend[topic],"="&amp;INDEX($C$22:$C$28,$D$3))</f>
        <v>1</v>
      </c>
      <c r="BP61" s="31" cm="1">
        <f t="array" ref="BP61">SUMIFS(TableTrend[negative],TableTrend[year],"="&amp;$BM61,TableTrend[topic],"="&amp;INDEX($C$22:$C$28,$D$3))</f>
        <v>1</v>
      </c>
      <c r="BQ61" s="31" cm="1">
        <f t="array" ref="BQ61">SUMIFS(TableTrend[total],TableTrend[year],"="&amp;$BM61,TableTrend[topic],"="&amp;INDEX($C$22:$C$28,$D$3))</f>
        <v>2</v>
      </c>
      <c r="BR61" s="31" cm="1">
        <f t="array" ref="BR61">IF($BK$14,IFERROR(SUMIFS(TableTrend[rating_sum],TableTrend[year],"="&amp;$BM61,TableTrend[topic],"="&amp;INDEX($C$22:$C$28,$D$3)) / SUMIFS(TableTrend[rating_count],TableTrend[year],"="&amp;$BM61,TableTrend[topic],"="&amp;INDEX($C$22:$C$28,$D$3)),0),NA())</f>
        <v>2</v>
      </c>
      <c r="BS61" s="33" t="str">
        <f>_xlfn.IFNA(IF($BN61=0,"",$BN61/(SUM($BQ$61))),"")</f>
        <v/>
      </c>
      <c r="BT61" s="33">
        <f>_xlfn.IFNA(IF($BO61=0,"",$BO61/(SUM($BQ$61))),"")</f>
        <v>0.5</v>
      </c>
      <c r="BU61" s="33">
        <f>_xlfn.IFNA(IF($BP61=0,"",$BP61/(SUM($BQ$61))),"")</f>
        <v>0.5</v>
      </c>
    </row>
    <row r="62" spans="11:73" x14ac:dyDescent="0.3">
      <c r="K62" s="7"/>
      <c r="X62" s="7"/>
      <c r="Y62"/>
      <c r="AH62" t="e">
        <f t="shared" si="5"/>
        <v>#NUM!</v>
      </c>
      <c r="AI62" t="e">
        <f t="shared" si="6"/>
        <v>#NUM!</v>
      </c>
      <c r="AJ62" t="e">
        <f t="shared" si="7"/>
        <v>#NUM!</v>
      </c>
      <c r="AK62" t="e">
        <f t="shared" si="8"/>
        <v>#NUM!</v>
      </c>
      <c r="AL62" t="e">
        <f t="shared" si="9"/>
        <v>#NUM!</v>
      </c>
      <c r="AM62" t="e">
        <f t="shared" si="10"/>
        <v>#NUM!</v>
      </c>
      <c r="BL62" s="31">
        <v>2</v>
      </c>
      <c r="BM62" s="32">
        <f>DATE(YEAR($D$8),1,1)</f>
        <v>44562</v>
      </c>
      <c r="BN62" s="31" cm="1">
        <f t="array" ref="BN62">SUMIFS(TableTrend[positive],TableTrend[year],"="&amp;$BM62,TableTrend[topic],"="&amp;INDEX($C$22:$C$28,$D$3))</f>
        <v>0</v>
      </c>
      <c r="BO62" s="31" cm="1">
        <f t="array" ref="BO62">SUMIFS(TableTrend[neutral],TableTrend[year],"="&amp;$BM62,TableTrend[topic],"="&amp;INDEX($C$22:$C$28,$D$3))</f>
        <v>0</v>
      </c>
      <c r="BP62" s="31" cm="1">
        <f t="array" ref="BP62">SUMIFS(TableTrend[negative],TableTrend[year],"="&amp;$BM62,TableTrend[topic],"="&amp;INDEX($C$22:$C$28,$D$3))</f>
        <v>3</v>
      </c>
      <c r="BQ62" s="31" cm="1">
        <f t="array" ref="BQ62">SUMIFS(TableTrend[total],TableTrend[year],"="&amp;$BM62,TableTrend[topic],"="&amp;INDEX($C$22:$C$28,$D$3))</f>
        <v>3</v>
      </c>
      <c r="BR62" s="31" cm="1">
        <f t="array" ref="BR62">IF($BK$14,IFERROR(SUMIFS(TableTrend[rating_sum],TableTrend[year],"="&amp;$BM62,TableTrend[topic],"="&amp;INDEX($C$22:$C$28,$D$3)) / SUMIFS(TableTrend[rating_count],TableTrend[year],"="&amp;$BM62,TableTrend[topic],"="&amp;INDEX($C$22:$C$28,$D$3)),0),NA())</f>
        <v>2.3333333333333335</v>
      </c>
      <c r="BS62" s="33" t="str">
        <f>_xlfn.IFNA(IF($BN62=0,"",$BN62/(SUM($BQ$61))),"")</f>
        <v/>
      </c>
      <c r="BT62" s="33" t="str">
        <f>_xlfn.IFNA(IF($BO62=0,"",$BO62/(SUM($BQ$61))),"")</f>
        <v/>
      </c>
      <c r="BU62" s="33">
        <f>_xlfn.IFNA(IF($BP62=0,"",$BP62/(SUM($BQ$62))),"")</f>
        <v>1</v>
      </c>
    </row>
    <row r="63" spans="11:73" x14ac:dyDescent="0.3">
      <c r="K63" s="7"/>
      <c r="X63" s="7"/>
      <c r="Y63"/>
      <c r="AH63" t="e">
        <f t="shared" si="5"/>
        <v>#NUM!</v>
      </c>
      <c r="AI63" t="e">
        <f t="shared" si="6"/>
        <v>#NUM!</v>
      </c>
      <c r="AJ63" t="e">
        <f t="shared" si="7"/>
        <v>#NUM!</v>
      </c>
      <c r="AK63" t="e">
        <f t="shared" si="8"/>
        <v>#NUM!</v>
      </c>
      <c r="AL63" t="e">
        <f t="shared" si="9"/>
        <v>#NUM!</v>
      </c>
      <c r="AM63" t="e">
        <f t="shared" si="10"/>
        <v>#NUM!</v>
      </c>
    </row>
    <row r="64" spans="11:73" x14ac:dyDescent="0.3">
      <c r="K64" s="7"/>
      <c r="X64" s="7"/>
      <c r="Y64"/>
      <c r="AH64" t="e">
        <f t="shared" si="5"/>
        <v>#NUM!</v>
      </c>
      <c r="AI64" t="e">
        <f t="shared" si="6"/>
        <v>#NUM!</v>
      </c>
      <c r="AJ64" t="e">
        <f t="shared" si="7"/>
        <v>#NUM!</v>
      </c>
      <c r="AK64" t="e">
        <f t="shared" si="8"/>
        <v>#NUM!</v>
      </c>
      <c r="AL64" t="e">
        <f t="shared" si="9"/>
        <v>#NUM!</v>
      </c>
      <c r="AM64" t="e">
        <f t="shared" si="10"/>
        <v>#NUM!</v>
      </c>
    </row>
    <row r="65" spans="11:74" x14ac:dyDescent="0.3">
      <c r="K65" s="7"/>
      <c r="X65" s="7"/>
      <c r="Y65"/>
      <c r="AH65" t="e">
        <f t="shared" si="5"/>
        <v>#NUM!</v>
      </c>
      <c r="AI65" t="e">
        <f t="shared" si="6"/>
        <v>#NUM!</v>
      </c>
      <c r="AJ65" t="e">
        <f t="shared" si="7"/>
        <v>#NUM!</v>
      </c>
      <c r="AK65" t="e">
        <f t="shared" si="8"/>
        <v>#NUM!</v>
      </c>
      <c r="AL65" t="e">
        <f t="shared" si="9"/>
        <v>#NUM!</v>
      </c>
      <c r="AM65" t="e">
        <f t="shared" si="10"/>
        <v>#NUM!</v>
      </c>
    </row>
    <row r="66" spans="11:74" x14ac:dyDescent="0.3">
      <c r="K66" s="7"/>
      <c r="X66" s="7"/>
      <c r="Y66"/>
      <c r="AH66" t="e">
        <f t="shared" si="5"/>
        <v>#NUM!</v>
      </c>
      <c r="AI66" t="e">
        <f t="shared" si="6"/>
        <v>#NUM!</v>
      </c>
      <c r="AJ66" t="e">
        <f t="shared" si="7"/>
        <v>#NUM!</v>
      </c>
      <c r="AK66" t="e">
        <f t="shared" si="8"/>
        <v>#NUM!</v>
      </c>
      <c r="AL66" t="e">
        <f t="shared" si="9"/>
        <v>#NUM!</v>
      </c>
      <c r="AM66" t="e">
        <f t="shared" si="10"/>
        <v>#NUM!</v>
      </c>
      <c r="BL66" s="27" t="s">
        <v>381</v>
      </c>
      <c r="BM66" s="27"/>
      <c r="BN66" s="27"/>
      <c r="BO66" s="27"/>
      <c r="BP66" s="27"/>
      <c r="BQ66" s="27"/>
    </row>
    <row r="67" spans="11:74" x14ac:dyDescent="0.3">
      <c r="K67" s="7"/>
      <c r="X67" s="7"/>
      <c r="Y67"/>
      <c r="AH67" t="e">
        <f t="shared" si="5"/>
        <v>#NUM!</v>
      </c>
      <c r="AI67" t="e">
        <f t="shared" si="6"/>
        <v>#NUM!</v>
      </c>
      <c r="AJ67" t="e">
        <f t="shared" si="7"/>
        <v>#NUM!</v>
      </c>
      <c r="AK67" t="e">
        <f t="shared" si="8"/>
        <v>#NUM!</v>
      </c>
      <c r="AL67" t="e">
        <f t="shared" si="9"/>
        <v>#NUM!</v>
      </c>
      <c r="AM67" t="e">
        <f t="shared" si="10"/>
        <v>#NUM!</v>
      </c>
      <c r="BL67" s="27" t="s">
        <v>0</v>
      </c>
      <c r="BM67" s="27" t="s">
        <v>218</v>
      </c>
      <c r="BN67" s="27" t="s">
        <v>217</v>
      </c>
      <c r="BO67" s="27" t="s">
        <v>216</v>
      </c>
      <c r="BP67" s="27" t="s">
        <v>219</v>
      </c>
      <c r="BQ67" s="27" t="str">
        <f>CHOOSE($D$11,"total sentiment","rating")</f>
        <v>total sentiment</v>
      </c>
      <c r="BR67" s="27" t="s">
        <v>384</v>
      </c>
      <c r="BS67" s="27" t="s">
        <v>392</v>
      </c>
      <c r="BT67" s="27" t="s">
        <v>393</v>
      </c>
      <c r="BU67" s="27" t="s">
        <v>394</v>
      </c>
      <c r="BV67" s="27" t="s">
        <v>365</v>
      </c>
    </row>
    <row r="68" spans="11:74" x14ac:dyDescent="0.3">
      <c r="X68" s="7"/>
      <c r="Y68"/>
      <c r="AH68" t="e">
        <f t="shared" si="5"/>
        <v>#NUM!</v>
      </c>
      <c r="AI68" t="e">
        <f t="shared" si="6"/>
        <v>#NUM!</v>
      </c>
      <c r="AJ68" t="e">
        <f t="shared" si="7"/>
        <v>#NUM!</v>
      </c>
      <c r="AK68" t="e">
        <f t="shared" si="8"/>
        <v>#NUM!</v>
      </c>
      <c r="AL68" t="e">
        <f t="shared" si="9"/>
        <v>#NUM!</v>
      </c>
      <c r="AM68" t="e">
        <f t="shared" si="10"/>
        <v>#NUM!</v>
      </c>
      <c r="BL68" s="28" cm="1">
        <f t="array" ref="BL68:BL69">CHOOSE($D$10,$BM$7:$BM$37,$BM$45:$BM$56,$BM$61:$BM$62)</f>
        <v>44197</v>
      </c>
      <c r="BM68" s="27" cm="1">
        <f t="array" ref="BM68:BM69">CHOOSE($D$10,$BN$7:$BN$37,$BN$45:$BN$56,$BN$61:$BN$62)</f>
        <v>0</v>
      </c>
      <c r="BN68" s="27" cm="1">
        <f t="array" ref="BN68:BN69">CHOOSE($D$10,$BO$7:$BO$37,$BO$45:$BO$56,$BO$61:$BO$62)</f>
        <v>1</v>
      </c>
      <c r="BO68" s="27" cm="1">
        <f t="array" ref="BO68:BO69">CHOOSE($D$10,$BP$7:$BP$37,$BP$45:$BP$56,$BP$61:$BP$62)</f>
        <v>1</v>
      </c>
      <c r="BP68" s="27" cm="1">
        <f t="array" ref="BP68:BP69">IF(CHOOSE($D$10,$BQ$7:$BQ$37,$BQ$45:$BQ$56,$BQ$61:$BQ$62)&lt;&gt;0,CHOOSE($D$10,$BQ$7:$BQ$37,$BQ$45:$BQ$56,$BQ$61:$BQ$62),"")</f>
        <v>2</v>
      </c>
      <c r="BQ68" s="27" cm="1">
        <f t="array" ref="BQ68:BQ69">CHOOSE($D$11,CHOOSE($D$10,$BQ$7:$BQ$37,$BQ$45:$BQ$56,$BQ$61:$BQ$62),ROUND(CHOOSE($D$10,$BR$7:$BR$37,$BR$45:$BR$56,$BR$61:$BR$62),1))</f>
        <v>2</v>
      </c>
      <c r="BR68" s="27" cm="1">
        <f t="array" ref="BR68:BR69">IF(CHOOSE($D$11,CHOOSE($D$10,$BQ$7:$BQ$37,$BQ$45:$BQ$56,$BQ$61:$BQ$62),CHOOSE($D$10,$BR$7:$BR$37,$BR$45:$BR$56,$BR$61:$BR$62))=0,"",CHOOSE($D$11,CHOOSE($D$10,$BQ$7:$BQ$37,$BQ$45:$BQ$56,$BQ$61:$BQ$62),ROUND(CHOOSE($D$10,$BR$7:$BR$37,$BR$45:$BR$56,$BR$61:$BR$62),1)))</f>
        <v>2</v>
      </c>
      <c r="BS68" s="34" t="str" cm="1">
        <f t="array" ref="BS68:BS69">CHOOSE($D$10,$BS$7:$BS$37,$BS$45:$BS$56,$BS$61:$BS$62)</f>
        <v/>
      </c>
      <c r="BT68" s="34" cm="1">
        <f t="array" ref="BT68:BT69">CHOOSE($D$10,$BT$7:$BT$37,$BT$45:$BT$56,$BT$61:$BT$62)</f>
        <v>0.5</v>
      </c>
      <c r="BU68" s="34" cm="1">
        <f t="array" ref="BU68:BU69">CHOOSE($D$10,$BU$7:$BU$37,$BU$45:$BU$56,$BU$61:$BU$62)</f>
        <v>0.5</v>
      </c>
      <c r="BV68" s="34" t="e">
        <f>NA()</f>
        <v>#N/A</v>
      </c>
    </row>
    <row r="69" spans="11:74" x14ac:dyDescent="0.3">
      <c r="X69" s="7"/>
      <c r="Y69"/>
      <c r="AH69" t="e">
        <f t="shared" si="5"/>
        <v>#NUM!</v>
      </c>
      <c r="AI69" t="e">
        <f t="shared" si="6"/>
        <v>#NUM!</v>
      </c>
      <c r="AJ69" t="e">
        <f t="shared" si="7"/>
        <v>#NUM!</v>
      </c>
      <c r="AK69" t="e">
        <f t="shared" si="8"/>
        <v>#NUM!</v>
      </c>
      <c r="AL69" t="e">
        <f t="shared" si="9"/>
        <v>#NUM!</v>
      </c>
      <c r="AM69" t="e">
        <f t="shared" si="10"/>
        <v>#NUM!</v>
      </c>
      <c r="BL69" s="28">
        <v>44562</v>
      </c>
      <c r="BM69" s="27">
        <v>0</v>
      </c>
      <c r="BN69" s="27">
        <v>0</v>
      </c>
      <c r="BO69" s="27">
        <v>3</v>
      </c>
      <c r="BP69" s="27">
        <v>3</v>
      </c>
      <c r="BQ69" s="27">
        <v>3</v>
      </c>
      <c r="BR69" s="27">
        <v>3</v>
      </c>
      <c r="BS69" s="34" t="str">
        <v/>
      </c>
      <c r="BT69" s="34" t="str">
        <v/>
      </c>
      <c r="BU69" s="34">
        <v>1</v>
      </c>
      <c r="BV69" s="34" t="e">
        <f>NA()</f>
        <v>#N/A</v>
      </c>
    </row>
    <row r="70" spans="11:74" x14ac:dyDescent="0.3">
      <c r="X70" s="7"/>
      <c r="Y70"/>
      <c r="AH70" t="e">
        <f t="shared" si="5"/>
        <v>#NUM!</v>
      </c>
      <c r="AI70" t="e">
        <f t="shared" si="6"/>
        <v>#NUM!</v>
      </c>
      <c r="AJ70" t="e">
        <f t="shared" si="7"/>
        <v>#NUM!</v>
      </c>
      <c r="AK70" t="e">
        <f t="shared" si="8"/>
        <v>#NUM!</v>
      </c>
      <c r="AL70" t="e">
        <f t="shared" si="9"/>
        <v>#NUM!</v>
      </c>
      <c r="AM70" t="e">
        <f t="shared" si="10"/>
        <v>#NUM!</v>
      </c>
      <c r="BL70" s="28"/>
      <c r="BM70" s="27"/>
      <c r="BN70" s="27"/>
      <c r="BO70" s="27"/>
      <c r="BP70" s="27"/>
      <c r="BQ70" s="27"/>
      <c r="BR70" s="27"/>
      <c r="BS70" s="34"/>
      <c r="BT70" s="34"/>
      <c r="BU70" s="34"/>
      <c r="BV70" s="34" t="e">
        <f>NA()</f>
        <v>#N/A</v>
      </c>
    </row>
    <row r="71" spans="11:74" x14ac:dyDescent="0.3">
      <c r="X71" s="7"/>
      <c r="Y71"/>
      <c r="AH71" t="e">
        <f t="shared" si="5"/>
        <v>#NUM!</v>
      </c>
      <c r="AI71" t="e">
        <f t="shared" si="6"/>
        <v>#NUM!</v>
      </c>
      <c r="AJ71" t="e">
        <f t="shared" si="7"/>
        <v>#NUM!</v>
      </c>
      <c r="AK71" t="e">
        <f t="shared" si="8"/>
        <v>#NUM!</v>
      </c>
      <c r="AL71" t="e">
        <f t="shared" si="9"/>
        <v>#NUM!</v>
      </c>
      <c r="AM71" t="e">
        <f t="shared" si="10"/>
        <v>#NUM!</v>
      </c>
      <c r="BL71" s="28"/>
      <c r="BM71" s="27"/>
      <c r="BN71" s="27"/>
      <c r="BO71" s="27"/>
      <c r="BP71" s="27"/>
      <c r="BQ71" s="27"/>
      <c r="BR71" s="27"/>
      <c r="BS71" s="34"/>
      <c r="BT71" s="34"/>
      <c r="BU71" s="34"/>
      <c r="BV71" s="34" t="e">
        <f>NA()</f>
        <v>#N/A</v>
      </c>
    </row>
    <row r="72" spans="11:74" x14ac:dyDescent="0.3">
      <c r="X72" s="7"/>
      <c r="Y72"/>
      <c r="AH72" t="e">
        <f t="shared" si="5"/>
        <v>#NUM!</v>
      </c>
      <c r="AI72" t="e">
        <f t="shared" si="6"/>
        <v>#NUM!</v>
      </c>
      <c r="AJ72" t="e">
        <f t="shared" si="7"/>
        <v>#NUM!</v>
      </c>
      <c r="AK72" t="e">
        <f t="shared" si="8"/>
        <v>#NUM!</v>
      </c>
      <c r="AL72" t="e">
        <f t="shared" si="9"/>
        <v>#NUM!</v>
      </c>
      <c r="AM72" t="e">
        <f t="shared" si="10"/>
        <v>#NUM!</v>
      </c>
      <c r="BL72" s="28"/>
      <c r="BM72" s="27"/>
      <c r="BN72" s="27"/>
      <c r="BO72" s="27"/>
      <c r="BP72" s="27"/>
      <c r="BQ72" s="27"/>
      <c r="BR72" s="27"/>
      <c r="BS72" s="34"/>
      <c r="BT72" s="34"/>
      <c r="BU72" s="34"/>
      <c r="BV72" s="34" t="e">
        <f>NA()</f>
        <v>#N/A</v>
      </c>
    </row>
    <row r="73" spans="11:74" x14ac:dyDescent="0.3">
      <c r="X73" s="7"/>
      <c r="Y73"/>
      <c r="AH73" t="e">
        <f t="shared" ref="AH73:AH77" si="18">LARGE($AF$8:$AF$1048505,ROW()-ROW($AH$7))</f>
        <v>#NUM!</v>
      </c>
      <c r="AI73" t="e">
        <f t="shared" ref="AI73:AI77" si="19">INDEX($AA$8:$AA$1048505,MATCH(AH73,$AF$8:$AF$1048505,0))</f>
        <v>#NUM!</v>
      </c>
      <c r="AJ73" t="e">
        <f t="shared" ref="AJ73:AJ77" si="20">INDEX($AB$8:$AB$1048505,MATCH(AH73,$AF$8:$AF$1048505,0))</f>
        <v>#NUM!</v>
      </c>
      <c r="AK73" t="e">
        <f t="shared" ref="AK73:AK77" si="21">INDEX($AC$8:$AC$1048505,MATCH(AH73,$AF$8:$AF$1048505,0))</f>
        <v>#NUM!</v>
      </c>
      <c r="AL73" t="e">
        <f t="shared" ref="AL73:AL77" si="22">INDEX($AD$8:$AD$1048505,MATCH(AH73,$AF$8:$AF$1048505,0))</f>
        <v>#NUM!</v>
      </c>
      <c r="AM73" t="e">
        <f t="shared" ref="AM73:AM77" si="23">INDEX($AE$8:$AE$1048505,MATCH(AH73,$AF$8:$AF$1048505,0))</f>
        <v>#NUM!</v>
      </c>
      <c r="BL73" s="28"/>
      <c r="BM73" s="27"/>
      <c r="BN73" s="27"/>
      <c r="BO73" s="27"/>
      <c r="BP73" s="27"/>
      <c r="BQ73" s="27"/>
      <c r="BR73" s="27"/>
      <c r="BS73" s="34"/>
      <c r="BT73" s="34"/>
      <c r="BU73" s="34"/>
      <c r="BV73" s="34" t="e">
        <f>NA()</f>
        <v>#N/A</v>
      </c>
    </row>
    <row r="74" spans="11:74" x14ac:dyDescent="0.3">
      <c r="X74" s="7"/>
      <c r="Y74"/>
      <c r="AH74" t="e">
        <f t="shared" si="18"/>
        <v>#NUM!</v>
      </c>
      <c r="AI74" t="e">
        <f t="shared" si="19"/>
        <v>#NUM!</v>
      </c>
      <c r="AJ74" t="e">
        <f t="shared" si="20"/>
        <v>#NUM!</v>
      </c>
      <c r="AK74" t="e">
        <f t="shared" si="21"/>
        <v>#NUM!</v>
      </c>
      <c r="AL74" t="e">
        <f t="shared" si="22"/>
        <v>#NUM!</v>
      </c>
      <c r="AM74" t="e">
        <f t="shared" si="23"/>
        <v>#NUM!</v>
      </c>
      <c r="BL74" s="28"/>
      <c r="BM74" s="27"/>
      <c r="BN74" s="27"/>
      <c r="BO74" s="27"/>
      <c r="BP74" s="27"/>
      <c r="BQ74" s="27"/>
      <c r="BR74" s="27"/>
      <c r="BS74" s="34"/>
      <c r="BT74" s="34"/>
      <c r="BU74" s="34"/>
      <c r="BV74" s="34" t="e">
        <f>NA()</f>
        <v>#N/A</v>
      </c>
    </row>
    <row r="75" spans="11:74" x14ac:dyDescent="0.3">
      <c r="X75" s="7"/>
      <c r="Y75"/>
      <c r="AH75" t="e">
        <f t="shared" si="18"/>
        <v>#NUM!</v>
      </c>
      <c r="AI75" t="e">
        <f t="shared" si="19"/>
        <v>#NUM!</v>
      </c>
      <c r="AJ75" t="e">
        <f t="shared" si="20"/>
        <v>#NUM!</v>
      </c>
      <c r="AK75" t="e">
        <f t="shared" si="21"/>
        <v>#NUM!</v>
      </c>
      <c r="AL75" t="e">
        <f t="shared" si="22"/>
        <v>#NUM!</v>
      </c>
      <c r="AM75" t="e">
        <f t="shared" si="23"/>
        <v>#NUM!</v>
      </c>
      <c r="BL75" s="28"/>
      <c r="BM75" s="27"/>
      <c r="BN75" s="27"/>
      <c r="BO75" s="27"/>
      <c r="BP75" s="27"/>
      <c r="BQ75" s="27"/>
      <c r="BR75" s="27"/>
      <c r="BS75" s="34"/>
      <c r="BT75" s="34"/>
      <c r="BU75" s="34"/>
      <c r="BV75" s="34" t="e">
        <f>NA()</f>
        <v>#N/A</v>
      </c>
    </row>
    <row r="76" spans="11:74" x14ac:dyDescent="0.3">
      <c r="X76" s="7"/>
      <c r="Y76"/>
      <c r="AH76" t="e">
        <f t="shared" si="18"/>
        <v>#NUM!</v>
      </c>
      <c r="AI76" t="e">
        <f t="shared" si="19"/>
        <v>#NUM!</v>
      </c>
      <c r="AJ76" t="e">
        <f t="shared" si="20"/>
        <v>#NUM!</v>
      </c>
      <c r="AK76" t="e">
        <f t="shared" si="21"/>
        <v>#NUM!</v>
      </c>
      <c r="AL76" t="e">
        <f t="shared" si="22"/>
        <v>#NUM!</v>
      </c>
      <c r="AM76" t="e">
        <f t="shared" si="23"/>
        <v>#NUM!</v>
      </c>
      <c r="BL76" s="28"/>
      <c r="BM76" s="27"/>
      <c r="BN76" s="27"/>
      <c r="BO76" s="27"/>
      <c r="BP76" s="27"/>
      <c r="BQ76" s="27"/>
      <c r="BR76" s="27"/>
      <c r="BS76" s="34"/>
      <c r="BT76" s="34"/>
      <c r="BU76" s="34"/>
      <c r="BV76" s="34" t="e">
        <f>NA()</f>
        <v>#N/A</v>
      </c>
    </row>
    <row r="77" spans="11:74" x14ac:dyDescent="0.3">
      <c r="X77" s="7"/>
      <c r="Y77"/>
      <c r="AH77" t="e">
        <f t="shared" si="18"/>
        <v>#NUM!</v>
      </c>
      <c r="AI77" t="e">
        <f t="shared" si="19"/>
        <v>#NUM!</v>
      </c>
      <c r="AJ77" t="e">
        <f t="shared" si="20"/>
        <v>#NUM!</v>
      </c>
      <c r="AK77" t="e">
        <f t="shared" si="21"/>
        <v>#NUM!</v>
      </c>
      <c r="AL77" t="e">
        <f t="shared" si="22"/>
        <v>#NUM!</v>
      </c>
      <c r="AM77" t="e">
        <f t="shared" si="23"/>
        <v>#NUM!</v>
      </c>
      <c r="BL77" s="28"/>
      <c r="BM77" s="27"/>
      <c r="BN77" s="27"/>
      <c r="BO77" s="27"/>
      <c r="BP77" s="27"/>
      <c r="BQ77" s="27"/>
      <c r="BR77" s="27"/>
      <c r="BS77" s="34"/>
      <c r="BT77" s="34"/>
      <c r="BU77" s="34"/>
      <c r="BV77" s="34" t="e">
        <f>NA()</f>
        <v>#N/A</v>
      </c>
    </row>
    <row r="78" spans="11:74" x14ac:dyDescent="0.3">
      <c r="X78" s="7"/>
      <c r="Y78"/>
      <c r="BL78" s="28"/>
      <c r="BM78" s="27"/>
      <c r="BN78" s="27"/>
      <c r="BO78" s="27"/>
      <c r="BP78" s="27"/>
      <c r="BQ78" s="27"/>
      <c r="BR78" s="27"/>
      <c r="BS78" s="34"/>
      <c r="BT78" s="34"/>
      <c r="BU78" s="34"/>
      <c r="BV78" s="34" t="e">
        <f>NA()</f>
        <v>#N/A</v>
      </c>
    </row>
    <row r="79" spans="11:74" x14ac:dyDescent="0.3">
      <c r="X79" s="7"/>
      <c r="Y79"/>
      <c r="BL79" s="28"/>
      <c r="BM79" s="27"/>
      <c r="BN79" s="27"/>
      <c r="BO79" s="27"/>
      <c r="BP79" s="27"/>
      <c r="BQ79" s="27"/>
      <c r="BR79" s="27"/>
      <c r="BS79" s="34"/>
      <c r="BT79" s="34"/>
      <c r="BU79" s="34"/>
      <c r="BV79" s="34" t="e">
        <f>NA()</f>
        <v>#N/A</v>
      </c>
    </row>
    <row r="80" spans="11:74" x14ac:dyDescent="0.3">
      <c r="X80" s="7"/>
      <c r="Y80"/>
      <c r="BL80" s="28"/>
      <c r="BM80" s="27"/>
      <c r="BN80" s="27"/>
      <c r="BO80" s="27"/>
      <c r="BP80" s="27"/>
      <c r="BQ80" s="27"/>
      <c r="BR80" s="27"/>
      <c r="BS80" s="34"/>
      <c r="BT80" s="34"/>
      <c r="BU80" s="34"/>
      <c r="BV80" s="34" t="e">
        <f>NA()</f>
        <v>#N/A</v>
      </c>
    </row>
    <row r="81" spans="24:74" x14ac:dyDescent="0.3">
      <c r="X81" s="7"/>
      <c r="Y81"/>
      <c r="BL81" s="28"/>
      <c r="BM81" s="27"/>
      <c r="BN81" s="27"/>
      <c r="BO81" s="27"/>
      <c r="BP81" s="27"/>
      <c r="BQ81" s="27"/>
      <c r="BR81" s="27"/>
      <c r="BS81" s="34"/>
      <c r="BT81" s="34"/>
      <c r="BU81" s="34"/>
      <c r="BV81" s="34" t="e">
        <f>NA()</f>
        <v>#N/A</v>
      </c>
    </row>
    <row r="82" spans="24:74" x14ac:dyDescent="0.3">
      <c r="X82" s="7"/>
      <c r="Y82"/>
      <c r="BL82" s="28"/>
      <c r="BM82" s="27"/>
      <c r="BN82" s="27"/>
      <c r="BO82" s="27"/>
      <c r="BP82" s="27"/>
      <c r="BQ82" s="27"/>
      <c r="BR82" s="27"/>
      <c r="BS82" s="34"/>
      <c r="BT82" s="34"/>
      <c r="BU82" s="34"/>
      <c r="BV82" s="34" t="e">
        <f>NA()</f>
        <v>#N/A</v>
      </c>
    </row>
    <row r="83" spans="24:74" x14ac:dyDescent="0.3">
      <c r="X83" s="7"/>
      <c r="Y83"/>
      <c r="BL83" s="28"/>
      <c r="BM83" s="27"/>
      <c r="BN83" s="27"/>
      <c r="BO83" s="27"/>
      <c r="BP83" s="27"/>
      <c r="BQ83" s="27"/>
      <c r="BR83" s="27"/>
      <c r="BS83" s="34"/>
      <c r="BT83" s="34"/>
      <c r="BU83" s="34"/>
      <c r="BV83" s="34" t="e">
        <f>NA()</f>
        <v>#N/A</v>
      </c>
    </row>
    <row r="84" spans="24:74" x14ac:dyDescent="0.3">
      <c r="X84" s="7"/>
      <c r="Y84"/>
      <c r="BL84" s="28"/>
      <c r="BM84" s="27"/>
      <c r="BN84" s="27"/>
      <c r="BO84" s="27"/>
      <c r="BP84" s="27"/>
      <c r="BQ84" s="27"/>
      <c r="BR84" s="27"/>
      <c r="BS84" s="34"/>
      <c r="BT84" s="34"/>
      <c r="BU84" s="34"/>
      <c r="BV84" s="34" t="e">
        <f>NA()</f>
        <v>#N/A</v>
      </c>
    </row>
    <row r="85" spans="24:74" x14ac:dyDescent="0.3">
      <c r="X85" s="7"/>
      <c r="Y85"/>
      <c r="BL85" s="28"/>
      <c r="BM85" s="27"/>
      <c r="BN85" s="27"/>
      <c r="BO85" s="27"/>
      <c r="BP85" s="27"/>
      <c r="BQ85" s="27"/>
      <c r="BR85" s="27"/>
      <c r="BS85" s="34"/>
      <c r="BT85" s="34"/>
      <c r="BU85" s="34"/>
      <c r="BV85" s="34" t="e">
        <f>NA()</f>
        <v>#N/A</v>
      </c>
    </row>
    <row r="86" spans="24:74" x14ac:dyDescent="0.3">
      <c r="X86" s="7"/>
      <c r="Y86"/>
      <c r="BL86" s="28"/>
      <c r="BM86" s="27"/>
      <c r="BN86" s="27"/>
      <c r="BO86" s="27"/>
      <c r="BP86" s="27"/>
      <c r="BQ86" s="27"/>
      <c r="BR86" s="27"/>
      <c r="BS86" s="34"/>
      <c r="BT86" s="34"/>
      <c r="BU86" s="34"/>
      <c r="BV86" s="34" t="e">
        <f>NA()</f>
        <v>#N/A</v>
      </c>
    </row>
    <row r="87" spans="24:74" x14ac:dyDescent="0.3">
      <c r="X87" s="7"/>
      <c r="Y87"/>
      <c r="BL87" s="28"/>
      <c r="BM87" s="27"/>
      <c r="BN87" s="27"/>
      <c r="BO87" s="27"/>
      <c r="BP87" s="27"/>
      <c r="BQ87" s="27"/>
      <c r="BR87" s="27"/>
      <c r="BS87" s="34"/>
      <c r="BT87" s="34"/>
      <c r="BU87" s="34"/>
      <c r="BV87" s="34" t="e">
        <f>NA()</f>
        <v>#N/A</v>
      </c>
    </row>
    <row r="88" spans="24:74" x14ac:dyDescent="0.3">
      <c r="X88" s="7"/>
      <c r="Y88"/>
      <c r="BL88" s="28"/>
      <c r="BM88" s="27"/>
      <c r="BN88" s="27"/>
      <c r="BO88" s="27"/>
      <c r="BP88" s="27"/>
      <c r="BQ88" s="27"/>
      <c r="BR88" s="27"/>
      <c r="BS88" s="34"/>
      <c r="BT88" s="34"/>
      <c r="BU88" s="34"/>
      <c r="BV88" s="34" t="e">
        <f>NA()</f>
        <v>#N/A</v>
      </c>
    </row>
    <row r="89" spans="24:74" x14ac:dyDescent="0.3">
      <c r="X89" s="7"/>
      <c r="Y89"/>
      <c r="BL89" s="28"/>
      <c r="BM89" s="27"/>
      <c r="BN89" s="27"/>
      <c r="BO89" s="27"/>
      <c r="BP89" s="27"/>
      <c r="BQ89" s="27"/>
      <c r="BR89" s="27"/>
      <c r="BS89" s="34"/>
      <c r="BT89" s="34"/>
      <c r="BU89" s="34"/>
      <c r="BV89" s="34" t="e">
        <f>NA()</f>
        <v>#N/A</v>
      </c>
    </row>
    <row r="90" spans="24:74" x14ac:dyDescent="0.3">
      <c r="X90" s="7"/>
      <c r="Y90"/>
      <c r="BL90" s="28"/>
      <c r="BM90" s="27"/>
      <c r="BN90" s="27"/>
      <c r="BO90" s="27"/>
      <c r="BP90" s="27"/>
      <c r="BQ90" s="27"/>
      <c r="BR90" s="27"/>
      <c r="BS90" s="34"/>
      <c r="BT90" s="34"/>
      <c r="BU90" s="34"/>
      <c r="BV90" s="34" t="e">
        <f>NA()</f>
        <v>#N/A</v>
      </c>
    </row>
    <row r="91" spans="24:74" x14ac:dyDescent="0.3">
      <c r="X91" s="7"/>
      <c r="Y91"/>
      <c r="BL91" s="28"/>
      <c r="BM91" s="27"/>
      <c r="BN91" s="27"/>
      <c r="BO91" s="27"/>
      <c r="BP91" s="27"/>
      <c r="BQ91" s="27"/>
      <c r="BR91" s="27"/>
      <c r="BS91" s="34"/>
      <c r="BT91" s="34"/>
      <c r="BU91" s="34"/>
      <c r="BV91" s="34" t="e">
        <f>NA()</f>
        <v>#N/A</v>
      </c>
    </row>
    <row r="92" spans="24:74" x14ac:dyDescent="0.3">
      <c r="X92" s="7"/>
      <c r="Y92"/>
      <c r="BL92" s="28"/>
      <c r="BM92" s="27"/>
      <c r="BN92" s="27"/>
      <c r="BO92" s="27"/>
      <c r="BP92" s="27"/>
      <c r="BQ92" s="27"/>
      <c r="BR92" s="27"/>
      <c r="BS92" s="34"/>
      <c r="BT92" s="34"/>
      <c r="BU92" s="34"/>
      <c r="BV92" s="34" t="e">
        <f>NA()</f>
        <v>#N/A</v>
      </c>
    </row>
    <row r="93" spans="24:74" x14ac:dyDescent="0.3">
      <c r="X93" s="7"/>
      <c r="Y93"/>
      <c r="BL93" s="28"/>
      <c r="BM93" s="27"/>
      <c r="BN93" s="27"/>
      <c r="BO93" s="27"/>
      <c r="BP93" s="27"/>
      <c r="BQ93" s="27"/>
      <c r="BR93" s="27"/>
      <c r="BS93" s="34"/>
      <c r="BT93" s="34"/>
      <c r="BU93" s="34"/>
      <c r="BV93" s="34" t="e">
        <f>NA()</f>
        <v>#N/A</v>
      </c>
    </row>
    <row r="94" spans="24:74" x14ac:dyDescent="0.3">
      <c r="X94" s="7"/>
      <c r="Y94"/>
      <c r="BL94" s="28"/>
      <c r="BM94" s="27"/>
      <c r="BN94" s="27"/>
      <c r="BO94" s="27"/>
      <c r="BP94" s="27"/>
      <c r="BQ94" s="27"/>
      <c r="BR94" s="27"/>
      <c r="BS94" s="34"/>
      <c r="BT94" s="34"/>
      <c r="BU94" s="34"/>
      <c r="BV94" s="34" t="e">
        <f>NA()</f>
        <v>#N/A</v>
      </c>
    </row>
    <row r="95" spans="24:74" x14ac:dyDescent="0.3">
      <c r="X95" s="7"/>
      <c r="Y95"/>
      <c r="BL95" s="28"/>
      <c r="BM95" s="27"/>
      <c r="BN95" s="27"/>
      <c r="BO95" s="27"/>
      <c r="BP95" s="27"/>
      <c r="BQ95" s="27"/>
      <c r="BR95" s="27"/>
      <c r="BS95" s="34"/>
      <c r="BT95" s="34"/>
      <c r="BU95" s="34"/>
      <c r="BV95" s="34" t="e">
        <f>NA()</f>
        <v>#N/A</v>
      </c>
    </row>
    <row r="96" spans="24:74" x14ac:dyDescent="0.3">
      <c r="X96" s="7"/>
      <c r="Y96"/>
      <c r="BL96" s="28"/>
      <c r="BM96" s="27"/>
      <c r="BN96" s="27"/>
      <c r="BO96" s="27"/>
      <c r="BP96" s="27"/>
      <c r="BQ96" s="27"/>
      <c r="BR96" s="27"/>
      <c r="BS96" s="34"/>
      <c r="BT96" s="34"/>
      <c r="BU96" s="34"/>
      <c r="BV96" s="34" t="e">
        <f>NA()</f>
        <v>#N/A</v>
      </c>
    </row>
    <row r="97" spans="24:74" x14ac:dyDescent="0.3">
      <c r="X97" s="7"/>
      <c r="Y97"/>
      <c r="BL97" s="28"/>
      <c r="BM97" s="27"/>
      <c r="BN97" s="27"/>
      <c r="BO97" s="27"/>
      <c r="BP97" s="27"/>
      <c r="BQ97" s="27"/>
      <c r="BR97" s="27"/>
      <c r="BS97" s="34"/>
      <c r="BT97" s="34"/>
      <c r="BU97" s="34"/>
      <c r="BV97" s="34" t="e">
        <f>NA()</f>
        <v>#N/A</v>
      </c>
    </row>
    <row r="98" spans="24:74" x14ac:dyDescent="0.3">
      <c r="X98" s="7"/>
      <c r="Y98"/>
      <c r="BL98" s="28"/>
      <c r="BM98" s="27"/>
      <c r="BN98" s="27"/>
      <c r="BO98" s="27"/>
      <c r="BP98" s="27"/>
      <c r="BQ98" s="27"/>
      <c r="BR98" s="27"/>
      <c r="BS98" s="34"/>
      <c r="BT98" s="34"/>
      <c r="BU98" s="34"/>
      <c r="BV98" s="34" t="e">
        <f>NA()</f>
        <v>#N/A</v>
      </c>
    </row>
  </sheetData>
  <conditionalFormatting sqref="AR8:AR18">
    <cfRule type="dataBar" priority="9">
      <dataBar>
        <cfvo type="num" val="$AO$10"/>
        <cfvo type="num" val="$AO$9"/>
        <color rgb="FF63C384"/>
      </dataBar>
      <extLst>
        <ext xmlns:x14="http://schemas.microsoft.com/office/spreadsheetml/2009/9/main" uri="{B025F937-C7B1-47D3-B67F-A62EFF666E3E}">
          <x14:id>{509872A0-A649-4007-8598-B9DBA98FD83D}</x14:id>
        </ext>
      </extLst>
    </cfRule>
  </conditionalFormatting>
  <conditionalFormatting sqref="AS8:AS17">
    <cfRule type="dataBar" priority="10">
      <dataBar>
        <cfvo type="num" val="$AO$10"/>
        <cfvo type="num" val="$AO$9"/>
        <color rgb="FFFFB628"/>
      </dataBar>
      <extLst>
        <ext xmlns:x14="http://schemas.microsoft.com/office/spreadsheetml/2009/9/main" uri="{B025F937-C7B1-47D3-B67F-A62EFF666E3E}">
          <x14:id>{DE51D0EB-6311-4780-89DE-95EE228D2AEC}</x14:id>
        </ext>
      </extLst>
    </cfRule>
  </conditionalFormatting>
  <conditionalFormatting sqref="AT8:AT17">
    <cfRule type="dataBar" priority="11">
      <dataBar>
        <cfvo type="num" val="$AO$10"/>
        <cfvo type="num" val="$AO$9"/>
        <color rgb="FFD6007B"/>
      </dataBar>
      <extLst>
        <ext xmlns:x14="http://schemas.microsoft.com/office/spreadsheetml/2009/9/main" uri="{B025F937-C7B1-47D3-B67F-A62EFF666E3E}">
          <x14:id>{7508AD06-1D0D-44CB-8F62-E4AEBD821256}</x14:id>
        </ext>
      </extLst>
    </cfRule>
  </conditionalFormatting>
  <conditionalFormatting sqref="AU8:AU17">
    <cfRule type="dataBar" priority="12">
      <dataBar>
        <cfvo type="num" val="$AO$10"/>
        <cfvo type="num" val="$AO$9"/>
        <color rgb="FF008AEF"/>
      </dataBar>
      <extLst>
        <ext xmlns:x14="http://schemas.microsoft.com/office/spreadsheetml/2009/9/main" uri="{B025F937-C7B1-47D3-B67F-A62EFF666E3E}">
          <x14:id>{CF07725D-D577-46D9-A339-7042A2FB2B0D}</x14:id>
        </ext>
      </extLst>
    </cfRule>
  </conditionalFormatting>
  <dataValidations disablePrompts="1" count="2">
    <dataValidation type="date" operator="greaterThanOrEqual" allowBlank="1" showInputMessage="1" showErrorMessage="1" sqref="I4" xr:uid="{C6683BCB-0D09-44E0-B804-26B031F4D79C}">
      <formula1>D5</formula1>
    </dataValidation>
    <dataValidation type="date" operator="greaterThanOrEqual" allowBlank="1" showInputMessage="1" showErrorMessage="1" sqref="E7" xr:uid="{D21961E9-7550-4AC0-90AF-C6A962DCED33}">
      <formula1>$D$5</formula1>
    </dataValidation>
  </dataValidations>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509872A0-A649-4007-8598-B9DBA98FD83D}">
            <x14:dataBar minLength="0" maxLength="100" border="1" negativeBarBorderColorSameAsPositive="0">
              <x14:cfvo type="num">
                <xm:f>$AO$10</xm:f>
              </x14:cfvo>
              <x14:cfvo type="num">
                <xm:f>$AO$9</xm:f>
              </x14:cfvo>
              <x14:borderColor rgb="FF63C384"/>
              <x14:negativeFillColor rgb="FFFF0000"/>
              <x14:negativeBorderColor rgb="FFFF0000"/>
              <x14:axisColor rgb="FF000000"/>
            </x14:dataBar>
          </x14:cfRule>
          <xm:sqref>AR8:AR18</xm:sqref>
        </x14:conditionalFormatting>
        <x14:conditionalFormatting xmlns:xm="http://schemas.microsoft.com/office/excel/2006/main">
          <x14:cfRule type="dataBar" id="{DE51D0EB-6311-4780-89DE-95EE228D2AEC}">
            <x14:dataBar minLength="0" maxLength="100" border="1" negativeBarBorderColorSameAsPositive="0">
              <x14:cfvo type="num">
                <xm:f>$AO$10</xm:f>
              </x14:cfvo>
              <x14:cfvo type="num">
                <xm:f>$AO$9</xm:f>
              </x14:cfvo>
              <x14:borderColor rgb="FFFFB628"/>
              <x14:negativeFillColor rgb="FFFF0000"/>
              <x14:negativeBorderColor rgb="FFFF0000"/>
              <x14:axisColor rgb="FF000000"/>
            </x14:dataBar>
          </x14:cfRule>
          <xm:sqref>AS8:AS17</xm:sqref>
        </x14:conditionalFormatting>
        <x14:conditionalFormatting xmlns:xm="http://schemas.microsoft.com/office/excel/2006/main">
          <x14:cfRule type="dataBar" id="{7508AD06-1D0D-44CB-8F62-E4AEBD821256}">
            <x14:dataBar minLength="0" maxLength="100" border="1" negativeBarBorderColorSameAsPositive="0">
              <x14:cfvo type="num">
                <xm:f>$AO$10</xm:f>
              </x14:cfvo>
              <x14:cfvo type="num">
                <xm:f>$AO$9</xm:f>
              </x14:cfvo>
              <x14:borderColor rgb="FFD6007B"/>
              <x14:negativeFillColor rgb="FFFF0000"/>
              <x14:negativeBorderColor rgb="FFFF0000"/>
              <x14:axisColor rgb="FF000000"/>
            </x14:dataBar>
          </x14:cfRule>
          <xm:sqref>AT8:AT17</xm:sqref>
        </x14:conditionalFormatting>
        <x14:conditionalFormatting xmlns:xm="http://schemas.microsoft.com/office/excel/2006/main">
          <x14:cfRule type="dataBar" id="{CF07725D-D577-46D9-A339-7042A2FB2B0D}">
            <x14:dataBar minLength="0" maxLength="100" border="1" negativeBarBorderColorSameAsPositive="0">
              <x14:cfvo type="num">
                <xm:f>$AO$10</xm:f>
              </x14:cfvo>
              <x14:cfvo type="num">
                <xm:f>$AO$9</xm:f>
              </x14:cfvo>
              <x14:borderColor rgb="FF008AEF"/>
              <x14:negativeFillColor rgb="FFFF0000"/>
              <x14:negativeBorderColor rgb="FFFF0000"/>
              <x14:axisColor rgb="FF000000"/>
            </x14:dataBar>
          </x14:cfRule>
          <xm:sqref>AU8:AU17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8EDFC-D5CD-40FC-9BFC-B3CC6CD45D4F}">
  <dimension ref="A3:M22"/>
  <sheetViews>
    <sheetView topLeftCell="E1" zoomScale="92" zoomScaleNormal="107" workbookViewId="0">
      <selection activeCell="M6" sqref="M6"/>
    </sheetView>
  </sheetViews>
  <sheetFormatPr defaultRowHeight="14.4" x14ac:dyDescent="0.3"/>
  <cols>
    <col min="2" max="2" width="11" bestFit="1" customWidth="1"/>
    <col min="4" max="4" width="12.5546875" bestFit="1" customWidth="1"/>
    <col min="5" max="5" width="11.33203125" bestFit="1" customWidth="1"/>
    <col min="6" max="6" width="25.5546875" bestFit="1" customWidth="1"/>
    <col min="7" max="7" width="19.6640625" bestFit="1" customWidth="1"/>
    <col min="8" max="8" width="13.109375" bestFit="1" customWidth="1"/>
    <col min="9" max="9" width="9.5546875" bestFit="1" customWidth="1"/>
    <col min="10" max="10" width="15.6640625" bestFit="1" customWidth="1"/>
    <col min="11" max="11" width="15.21875" bestFit="1" customWidth="1"/>
    <col min="12" max="12" width="14.6640625" customWidth="1"/>
  </cols>
  <sheetData>
    <row r="3" spans="1:13" x14ac:dyDescent="0.3">
      <c r="G3" t="s">
        <v>363</v>
      </c>
      <c r="H3" t="str" cm="1">
        <f t="array" ref="H3">"Distribution Sentiment All Topics Period: "&amp; INDEX($B$10:$B$15,$B$7)</f>
        <v>Distribution Sentiment All Topics Period: 2024</v>
      </c>
    </row>
    <row r="4" spans="1:13" x14ac:dyDescent="0.3">
      <c r="A4" s="53" t="s">
        <v>472</v>
      </c>
      <c r="B4" s="53"/>
      <c r="D4" s="49" t="s">
        <v>469</v>
      </c>
      <c r="G4" s="31"/>
      <c r="H4" s="31" t="s">
        <v>378</v>
      </c>
      <c r="I4" s="48" t="s">
        <v>218</v>
      </c>
      <c r="J4" s="48" t="s">
        <v>217</v>
      </c>
      <c r="K4" s="48" t="s">
        <v>216</v>
      </c>
      <c r="L4" s="50" t="s">
        <v>219</v>
      </c>
      <c r="M4" s="50" t="s">
        <v>384</v>
      </c>
    </row>
    <row r="5" spans="1:13" x14ac:dyDescent="0.3">
      <c r="A5" t="s">
        <v>360</v>
      </c>
      <c r="B5" s="15">
        <f>MIN(D5:D1048576)</f>
        <v>43805</v>
      </c>
      <c r="D5" s="25">
        <v>43805</v>
      </c>
      <c r="G5" s="31">
        <v>1</v>
      </c>
      <c r="H5" s="32" cm="1">
        <f t="array" ref="H5">DATE(INDEX($B$10:$B$15,$B$7),G5,1)</f>
        <v>45292</v>
      </c>
      <c r="I5">
        <f>SUMIFS(TableTrend[positive],TableTrend[month],"="&amp;$H5)</f>
        <v>0</v>
      </c>
      <c r="J5">
        <f>SUMIFS(TableTrend[neutral],TableTrend[month],"="&amp;$H5)</f>
        <v>0</v>
      </c>
      <c r="K5">
        <f>SUMIFS(TableTrend[negative],TableTrend[month],"="&amp;$H5)</f>
        <v>2</v>
      </c>
      <c r="L5">
        <f>SUMIFS(TableTrend[total],TableTrend[month],"="&amp;$H5)</f>
        <v>2</v>
      </c>
      <c r="M5">
        <f t="shared" ref="M5:M16" si="0">IF(L5&lt;&gt;0,L5,"")</f>
        <v>2</v>
      </c>
    </row>
    <row r="6" spans="1:13" x14ac:dyDescent="0.3">
      <c r="A6" t="s">
        <v>359</v>
      </c>
      <c r="B6" s="15">
        <f>MAX(D5:D1048576)</f>
        <v>45629</v>
      </c>
      <c r="D6" s="25">
        <v>44171</v>
      </c>
      <c r="G6" s="31">
        <v>2</v>
      </c>
      <c r="H6" s="32" cm="1">
        <f t="array" ref="H6">DATE(INDEX($B$10:$B$15,$B$7),G6,1)</f>
        <v>45323</v>
      </c>
      <c r="I6">
        <f>SUMIFS(TableTrend[positive],TableTrend[month],"="&amp;$H6)</f>
        <v>1</v>
      </c>
      <c r="J6">
        <f>SUMIFS(TableTrend[neutral],TableTrend[month],"="&amp;$H6)</f>
        <v>1</v>
      </c>
      <c r="K6">
        <f>SUMIFS(TableTrend[negative],TableTrend[month],"="&amp;$H6)</f>
        <v>5</v>
      </c>
      <c r="L6">
        <f>SUMIFS(TableTrend[total],TableTrend[month],"="&amp;$H6)</f>
        <v>7</v>
      </c>
      <c r="M6">
        <f t="shared" si="0"/>
        <v>7</v>
      </c>
    </row>
    <row r="7" spans="1:13" x14ac:dyDescent="0.3">
      <c r="A7" t="s">
        <v>380</v>
      </c>
      <c r="B7">
        <v>6</v>
      </c>
      <c r="D7" s="25">
        <v>44536</v>
      </c>
      <c r="G7" s="31">
        <v>3</v>
      </c>
      <c r="H7" s="32" cm="1">
        <f t="array" ref="H7">DATE(INDEX($B$10:$B$15,$B$7),G7,1)</f>
        <v>45352</v>
      </c>
      <c r="I7">
        <f>SUMIFS(TableTrend[positive],TableTrend[month],"="&amp;$H7)</f>
        <v>0</v>
      </c>
      <c r="J7">
        <f>SUMIFS(TableTrend[neutral],TableTrend[month],"="&amp;$H7)</f>
        <v>4</v>
      </c>
      <c r="K7">
        <f>SUMIFS(TableTrend[negative],TableTrend[month],"="&amp;$H7)</f>
        <v>10</v>
      </c>
      <c r="L7">
        <f>SUMIFS(TableTrend[total],TableTrend[month],"="&amp;$H7)</f>
        <v>14</v>
      </c>
      <c r="M7">
        <f t="shared" si="0"/>
        <v>14</v>
      </c>
    </row>
    <row r="8" spans="1:13" x14ac:dyDescent="0.3">
      <c r="D8" s="25">
        <v>44901</v>
      </c>
      <c r="G8" s="31">
        <v>4</v>
      </c>
      <c r="H8" s="32" cm="1">
        <f t="array" ref="H8">DATE(INDEX($B$10:$B$15,$B$7),G8,1)</f>
        <v>45383</v>
      </c>
      <c r="I8">
        <f>SUMIFS(TableTrend[positive],TableTrend[month],"="&amp;$H8)</f>
        <v>1</v>
      </c>
      <c r="J8">
        <f>SUMIFS(TableTrend[neutral],TableTrend[month],"="&amp;$H8)</f>
        <v>0</v>
      </c>
      <c r="K8">
        <f>SUMIFS(TableTrend[negative],TableTrend[month],"="&amp;$H8)</f>
        <v>2</v>
      </c>
      <c r="L8">
        <f>SUMIFS(TableTrend[total],TableTrend[month],"="&amp;$H8)</f>
        <v>3</v>
      </c>
      <c r="M8">
        <f t="shared" si="0"/>
        <v>3</v>
      </c>
    </row>
    <row r="9" spans="1:13" x14ac:dyDescent="0.3">
      <c r="A9" t="s">
        <v>473</v>
      </c>
      <c r="D9" s="25">
        <v>45266</v>
      </c>
      <c r="G9" s="31">
        <v>5</v>
      </c>
      <c r="H9" s="32" cm="1">
        <f t="array" ref="H9">DATE(INDEX($B$10:$B$15,$B$7),G9,1)</f>
        <v>45413</v>
      </c>
      <c r="I9">
        <f>SUMIFS(TableTrend[positive],TableTrend[month],"="&amp;$H9)</f>
        <v>10</v>
      </c>
      <c r="J9">
        <f>SUMIFS(TableTrend[neutral],TableTrend[month],"="&amp;$H9)</f>
        <v>2</v>
      </c>
      <c r="K9">
        <f>SUMIFS(TableTrend[negative],TableTrend[month],"="&amp;$H9)</f>
        <v>6</v>
      </c>
      <c r="L9">
        <f>SUMIFS(TableTrend[total],TableTrend[month],"="&amp;$H9)</f>
        <v>18</v>
      </c>
      <c r="M9">
        <f t="shared" si="0"/>
        <v>18</v>
      </c>
    </row>
    <row r="10" spans="1:13" x14ac:dyDescent="0.3">
      <c r="A10">
        <v>1</v>
      </c>
      <c r="B10">
        <v>2019</v>
      </c>
      <c r="D10" s="25">
        <v>45297</v>
      </c>
      <c r="G10" s="31">
        <v>6</v>
      </c>
      <c r="H10" s="32" cm="1">
        <f t="array" ref="H10">DATE(INDEX($B$10:$B$15,$B$7),G10,1)</f>
        <v>45444</v>
      </c>
      <c r="I10">
        <f>SUMIFS(TableTrend[positive],TableTrend[month],"="&amp;$H10)</f>
        <v>4</v>
      </c>
      <c r="J10">
        <f>SUMIFS(TableTrend[neutral],TableTrend[month],"="&amp;$H10)</f>
        <v>3</v>
      </c>
      <c r="K10">
        <f>SUMIFS(TableTrend[negative],TableTrend[month],"="&amp;$H10)</f>
        <v>2</v>
      </c>
      <c r="L10">
        <f>SUMIFS(TableTrend[total],TableTrend[month],"="&amp;$H10)</f>
        <v>9</v>
      </c>
      <c r="M10">
        <f t="shared" si="0"/>
        <v>9</v>
      </c>
    </row>
    <row r="11" spans="1:13" x14ac:dyDescent="0.3">
      <c r="A11">
        <v>2</v>
      </c>
      <c r="B11">
        <v>2020</v>
      </c>
      <c r="D11" s="25">
        <v>45328</v>
      </c>
      <c r="G11" s="31">
        <v>7</v>
      </c>
      <c r="H11" s="32" cm="1">
        <f t="array" ref="H11">DATE(INDEX($B$10:$B$15,$B$7),G11,1)</f>
        <v>45474</v>
      </c>
      <c r="I11">
        <f>SUMIFS(TableTrend[positive],TableTrend[month],"="&amp;$H11)</f>
        <v>0</v>
      </c>
      <c r="J11">
        <f>SUMIFS(TableTrend[neutral],TableTrend[month],"="&amp;$H11)</f>
        <v>0</v>
      </c>
      <c r="K11">
        <f>SUMIFS(TableTrend[negative],TableTrend[month],"="&amp;$H11)</f>
        <v>6</v>
      </c>
      <c r="L11">
        <f>SUMIFS(TableTrend[total],TableTrend[month],"="&amp;$H11)</f>
        <v>6</v>
      </c>
      <c r="M11">
        <f t="shared" si="0"/>
        <v>6</v>
      </c>
    </row>
    <row r="12" spans="1:13" x14ac:dyDescent="0.3">
      <c r="A12">
        <v>3</v>
      </c>
      <c r="B12">
        <v>2021</v>
      </c>
      <c r="D12" s="25">
        <v>45357</v>
      </c>
      <c r="G12" s="31">
        <v>8</v>
      </c>
      <c r="H12" s="32" cm="1">
        <f t="array" ref="H12">DATE(INDEX($B$10:$B$15,$B$7),G12,1)</f>
        <v>45505</v>
      </c>
      <c r="I12">
        <f>SUMIFS(TableTrend[positive],TableTrend[month],"="&amp;$H12)</f>
        <v>1</v>
      </c>
      <c r="J12">
        <f>SUMIFS(TableTrend[neutral],TableTrend[month],"="&amp;$H12)</f>
        <v>0</v>
      </c>
      <c r="K12">
        <f>SUMIFS(TableTrend[negative],TableTrend[month],"="&amp;$H12)</f>
        <v>6</v>
      </c>
      <c r="L12">
        <f>SUMIFS(TableTrend[total],TableTrend[month],"="&amp;$H12)</f>
        <v>7</v>
      </c>
      <c r="M12">
        <f t="shared" si="0"/>
        <v>7</v>
      </c>
    </row>
    <row r="13" spans="1:13" x14ac:dyDescent="0.3">
      <c r="A13">
        <v>4</v>
      </c>
      <c r="B13">
        <v>2022</v>
      </c>
      <c r="D13" s="25">
        <v>45388</v>
      </c>
      <c r="G13" s="31">
        <v>9</v>
      </c>
      <c r="H13" s="32" cm="1">
        <f t="array" ref="H13">DATE(INDEX($B$10:$B$15,$B$7),G13,1)</f>
        <v>45536</v>
      </c>
      <c r="I13">
        <f>SUMIFS(TableTrend[positive],TableTrend[month],"="&amp;$H13)</f>
        <v>7</v>
      </c>
      <c r="J13">
        <f>SUMIFS(TableTrend[neutral],TableTrend[month],"="&amp;$H13)</f>
        <v>0</v>
      </c>
      <c r="K13">
        <f>SUMIFS(TableTrend[negative],TableTrend[month],"="&amp;$H13)</f>
        <v>11</v>
      </c>
      <c r="L13">
        <f>SUMIFS(TableTrend[total],TableTrend[month],"="&amp;$H13)</f>
        <v>18</v>
      </c>
      <c r="M13">
        <f t="shared" si="0"/>
        <v>18</v>
      </c>
    </row>
    <row r="14" spans="1:13" x14ac:dyDescent="0.3">
      <c r="A14">
        <v>5</v>
      </c>
      <c r="B14">
        <v>2023</v>
      </c>
      <c r="D14" s="25">
        <v>45418</v>
      </c>
      <c r="G14" s="31">
        <v>10</v>
      </c>
      <c r="H14" s="32" cm="1">
        <f t="array" ref="H14">DATE(INDEX($B$10:$B$15,$B$7),G14,1)</f>
        <v>45566</v>
      </c>
      <c r="I14">
        <f>SUMIFS(TableTrend[positive],TableTrend[month],"="&amp;$H14)</f>
        <v>0</v>
      </c>
      <c r="J14">
        <f>SUMIFS(TableTrend[neutral],TableTrend[month],"="&amp;$H14)</f>
        <v>2</v>
      </c>
      <c r="K14">
        <f>SUMIFS(TableTrend[negative],TableTrend[month],"="&amp;$H14)</f>
        <v>6</v>
      </c>
      <c r="L14">
        <f>SUMIFS(TableTrend[total],TableTrend[month],"="&amp;$H14)</f>
        <v>8</v>
      </c>
      <c r="M14">
        <f t="shared" si="0"/>
        <v>8</v>
      </c>
    </row>
    <row r="15" spans="1:13" x14ac:dyDescent="0.3">
      <c r="A15">
        <v>6</v>
      </c>
      <c r="B15">
        <v>2024</v>
      </c>
      <c r="D15" s="25">
        <v>45449</v>
      </c>
      <c r="G15" s="31">
        <v>11</v>
      </c>
      <c r="H15" s="32" cm="1">
        <f t="array" ref="H15">DATE(INDEX($B$10:$B$15,$B$7),G15,1)</f>
        <v>45597</v>
      </c>
      <c r="I15">
        <f>SUMIFS(TableTrend[positive],TableTrend[month],"="&amp;$H15)</f>
        <v>5</v>
      </c>
      <c r="J15">
        <f>SUMIFS(TableTrend[neutral],TableTrend[month],"="&amp;$H15)</f>
        <v>5</v>
      </c>
      <c r="K15">
        <f>SUMIFS(TableTrend[negative],TableTrend[month],"="&amp;$H15)</f>
        <v>3</v>
      </c>
      <c r="L15">
        <f>SUMIFS(TableTrend[total],TableTrend[month],"="&amp;$H15)</f>
        <v>13</v>
      </c>
      <c r="M15">
        <f t="shared" si="0"/>
        <v>13</v>
      </c>
    </row>
    <row r="16" spans="1:13" x14ac:dyDescent="0.3">
      <c r="D16" s="25">
        <v>45479</v>
      </c>
      <c r="G16" s="31">
        <v>12</v>
      </c>
      <c r="H16" s="32" cm="1">
        <f t="array" ref="H16">DATE(INDEX($B$10:$B$15,$B$7),G16,1)</f>
        <v>45627</v>
      </c>
      <c r="I16">
        <f>SUMIFS(TableTrend[positive],TableTrend[month],"="&amp;$H16)</f>
        <v>4</v>
      </c>
      <c r="J16">
        <f>SUMIFS(TableTrend[neutral],TableTrend[month],"="&amp;$H16)</f>
        <v>1</v>
      </c>
      <c r="K16">
        <f>SUMIFS(TableTrend[negative],TableTrend[month],"="&amp;$H16)</f>
        <v>2</v>
      </c>
      <c r="L16">
        <f>SUMIFS(TableTrend[total],TableTrend[month],"="&amp;$H16)</f>
        <v>7</v>
      </c>
      <c r="M16">
        <f t="shared" si="0"/>
        <v>7</v>
      </c>
    </row>
    <row r="17" spans="4:4" x14ac:dyDescent="0.3">
      <c r="D17" s="25">
        <v>45510</v>
      </c>
    </row>
    <row r="18" spans="4:4" x14ac:dyDescent="0.3">
      <c r="D18" s="25">
        <v>45541</v>
      </c>
    </row>
    <row r="19" spans="4:4" x14ac:dyDescent="0.3">
      <c r="D19" s="25">
        <v>45571</v>
      </c>
    </row>
    <row r="20" spans="4:4" x14ac:dyDescent="0.3">
      <c r="D20" s="25">
        <v>45602</v>
      </c>
    </row>
    <row r="21" spans="4:4" x14ac:dyDescent="0.3">
      <c r="D21" s="25">
        <v>45627</v>
      </c>
    </row>
    <row r="22" spans="4:4" x14ac:dyDescent="0.3">
      <c r="D22" s="25">
        <v>45629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81947-4ED3-4242-86D5-1B1BB7802802}">
  <dimension ref="A2:BH62"/>
  <sheetViews>
    <sheetView topLeftCell="AT1" workbookViewId="0">
      <selection activeCell="BC3" sqref="BC3"/>
    </sheetView>
  </sheetViews>
  <sheetFormatPr defaultRowHeight="14.4" x14ac:dyDescent="0.3"/>
  <cols>
    <col min="1" max="1" width="12.6640625" customWidth="1"/>
    <col min="2" max="2" width="13.21875" customWidth="1"/>
    <col min="4" max="4" width="17.88671875" customWidth="1"/>
    <col min="5" max="5" width="17.77734375" customWidth="1"/>
    <col min="6" max="8" width="11.6640625" customWidth="1"/>
    <col min="10" max="10" width="12.6640625" customWidth="1"/>
    <col min="11" max="11" width="13.21875" customWidth="1"/>
    <col min="13" max="13" width="17.88671875" customWidth="1"/>
    <col min="14" max="14" width="17.77734375" customWidth="1"/>
    <col min="19" max="19" width="12.6640625" customWidth="1"/>
    <col min="20" max="20" width="13.21875" customWidth="1"/>
    <col min="22" max="22" width="17.88671875" customWidth="1"/>
    <col min="23" max="23" width="17.77734375" customWidth="1"/>
    <col min="28" max="28" width="12.6640625" customWidth="1"/>
    <col min="29" max="29" width="13.21875" customWidth="1"/>
    <col min="31" max="31" width="17.88671875" customWidth="1"/>
    <col min="32" max="32" width="17.77734375" customWidth="1"/>
    <col min="37" max="37" width="12.6640625" customWidth="1"/>
    <col min="38" max="38" width="13.21875" customWidth="1"/>
    <col min="40" max="40" width="17.88671875" customWidth="1"/>
    <col min="41" max="41" width="17.77734375" customWidth="1"/>
    <col min="46" max="46" width="12.6640625" customWidth="1"/>
    <col min="47" max="47" width="13.21875" customWidth="1"/>
    <col min="49" max="49" width="17.88671875" customWidth="1"/>
    <col min="50" max="50" width="17.77734375" customWidth="1"/>
    <col min="55" max="55" width="12.6640625" customWidth="1"/>
    <col min="56" max="56" width="13.21875" customWidth="1"/>
    <col min="58" max="58" width="17.88671875" customWidth="1"/>
    <col min="59" max="59" width="17.77734375" customWidth="1"/>
  </cols>
  <sheetData>
    <row r="2" spans="1:60" x14ac:dyDescent="0.3">
      <c r="A2" s="6" t="s">
        <v>470</v>
      </c>
      <c r="B2" s="6" t="s">
        <v>2</v>
      </c>
      <c r="C2" s="6" t="s">
        <v>3</v>
      </c>
      <c r="D2" s="6" t="s">
        <v>4</v>
      </c>
      <c r="E2" s="6" t="s">
        <v>5</v>
      </c>
      <c r="F2" s="6" t="s">
        <v>6</v>
      </c>
      <c r="G2" s="35"/>
      <c r="H2" s="35"/>
      <c r="J2" s="6" t="s">
        <v>470</v>
      </c>
      <c r="K2" s="6" t="s">
        <v>2</v>
      </c>
      <c r="L2" s="6" t="s">
        <v>3</v>
      </c>
      <c r="M2" s="6" t="s">
        <v>4</v>
      </c>
      <c r="N2" s="6" t="s">
        <v>5</v>
      </c>
      <c r="O2" s="6" t="s">
        <v>6</v>
      </c>
      <c r="P2" s="35"/>
      <c r="Q2" s="35"/>
      <c r="S2" s="6" t="s">
        <v>470</v>
      </c>
      <c r="T2" s="6" t="s">
        <v>2</v>
      </c>
      <c r="U2" s="6" t="s">
        <v>3</v>
      </c>
      <c r="V2" s="6" t="s">
        <v>4</v>
      </c>
      <c r="W2" s="6" t="s">
        <v>5</v>
      </c>
      <c r="X2" s="6" t="s">
        <v>6</v>
      </c>
      <c r="Y2" s="35"/>
      <c r="Z2" s="35"/>
      <c r="AB2" s="6" t="s">
        <v>470</v>
      </c>
      <c r="AC2" s="6" t="s">
        <v>2</v>
      </c>
      <c r="AD2" s="6" t="s">
        <v>3</v>
      </c>
      <c r="AE2" s="6" t="s">
        <v>4</v>
      </c>
      <c r="AF2" s="6" t="s">
        <v>5</v>
      </c>
      <c r="AG2" s="6" t="s">
        <v>6</v>
      </c>
      <c r="AH2" s="35"/>
      <c r="AI2" s="35"/>
      <c r="AK2" s="6" t="s">
        <v>470</v>
      </c>
      <c r="AL2" s="6" t="s">
        <v>2</v>
      </c>
      <c r="AM2" s="6" t="s">
        <v>3</v>
      </c>
      <c r="AN2" s="6" t="s">
        <v>4</v>
      </c>
      <c r="AO2" s="6" t="s">
        <v>5</v>
      </c>
      <c r="AP2" s="6" t="s">
        <v>6</v>
      </c>
      <c r="AQ2" s="35"/>
      <c r="AR2" s="35"/>
      <c r="AT2" s="6" t="s">
        <v>470</v>
      </c>
      <c r="AU2" s="6" t="s">
        <v>2</v>
      </c>
      <c r="AV2" s="6" t="s">
        <v>3</v>
      </c>
      <c r="AW2" s="6" t="s">
        <v>4</v>
      </c>
      <c r="AX2" s="6" t="s">
        <v>5</v>
      </c>
      <c r="AY2" s="6" t="s">
        <v>6</v>
      </c>
      <c r="AZ2" s="35"/>
      <c r="BA2" s="35"/>
      <c r="BC2" s="6" t="s">
        <v>470</v>
      </c>
      <c r="BD2" s="6" t="s">
        <v>2</v>
      </c>
      <c r="BE2" s="6" t="s">
        <v>3</v>
      </c>
      <c r="BF2" s="6" t="s">
        <v>4</v>
      </c>
      <c r="BG2" s="6" t="s">
        <v>5</v>
      </c>
      <c r="BH2" s="6" t="s">
        <v>6</v>
      </c>
    </row>
    <row r="3" spans="1:60" x14ac:dyDescent="0.3">
      <c r="A3">
        <v>92</v>
      </c>
      <c r="B3" s="7">
        <v>44534</v>
      </c>
      <c r="C3">
        <v>1</v>
      </c>
      <c r="D3" t="s">
        <v>7</v>
      </c>
      <c r="E3" t="s">
        <v>8</v>
      </c>
      <c r="F3" t="s">
        <v>9</v>
      </c>
      <c r="J3">
        <v>84</v>
      </c>
      <c r="K3" s="7">
        <v>43803</v>
      </c>
      <c r="L3">
        <v>3</v>
      </c>
      <c r="M3" t="s">
        <v>20</v>
      </c>
      <c r="N3" t="s">
        <v>21</v>
      </c>
      <c r="O3" t="s">
        <v>22</v>
      </c>
      <c r="S3">
        <v>84</v>
      </c>
      <c r="T3" s="7">
        <v>43803</v>
      </c>
      <c r="U3">
        <v>3</v>
      </c>
      <c r="V3" t="s">
        <v>20</v>
      </c>
      <c r="W3" t="s">
        <v>21</v>
      </c>
      <c r="X3" t="s">
        <v>59</v>
      </c>
      <c r="AB3">
        <v>93</v>
      </c>
      <c r="AC3" s="7">
        <v>43803</v>
      </c>
      <c r="AD3">
        <v>1</v>
      </c>
      <c r="AE3" t="s">
        <v>150</v>
      </c>
      <c r="AF3" t="s">
        <v>151</v>
      </c>
      <c r="AG3" t="s">
        <v>152</v>
      </c>
      <c r="AK3">
        <v>65</v>
      </c>
      <c r="AL3" s="7">
        <v>44899</v>
      </c>
      <c r="AM3">
        <v>3</v>
      </c>
      <c r="AN3" t="s">
        <v>10</v>
      </c>
      <c r="AO3" t="s">
        <v>11</v>
      </c>
      <c r="AP3" t="s">
        <v>173</v>
      </c>
      <c r="AT3">
        <v>33</v>
      </c>
      <c r="AU3" s="7">
        <v>45264</v>
      </c>
      <c r="AV3">
        <v>1</v>
      </c>
      <c r="AW3" t="s">
        <v>14</v>
      </c>
      <c r="AX3" t="s">
        <v>15</v>
      </c>
      <c r="AY3" t="s">
        <v>174</v>
      </c>
      <c r="BC3">
        <v>74</v>
      </c>
      <c r="BD3" s="7">
        <v>43803</v>
      </c>
      <c r="BE3">
        <v>1</v>
      </c>
      <c r="BF3" t="s">
        <v>23</v>
      </c>
      <c r="BG3" t="s">
        <v>24</v>
      </c>
      <c r="BH3" t="s">
        <v>175</v>
      </c>
    </row>
    <row r="4" spans="1:60" x14ac:dyDescent="0.3">
      <c r="A4">
        <v>65</v>
      </c>
      <c r="B4" s="7">
        <v>44899</v>
      </c>
      <c r="C4">
        <v>3</v>
      </c>
      <c r="D4" t="s">
        <v>10</v>
      </c>
      <c r="E4" t="s">
        <v>11</v>
      </c>
      <c r="F4" t="s">
        <v>9</v>
      </c>
      <c r="J4">
        <v>74</v>
      </c>
      <c r="K4" s="7">
        <v>43803</v>
      </c>
      <c r="L4">
        <v>1</v>
      </c>
      <c r="M4" t="s">
        <v>23</v>
      </c>
      <c r="N4" t="s">
        <v>24</v>
      </c>
      <c r="O4" t="s">
        <v>22</v>
      </c>
      <c r="S4">
        <v>94</v>
      </c>
      <c r="T4" s="7">
        <v>44169</v>
      </c>
      <c r="U4">
        <v>3</v>
      </c>
      <c r="V4" t="s">
        <v>60</v>
      </c>
      <c r="W4" t="s">
        <v>61</v>
      </c>
      <c r="X4" t="s">
        <v>59</v>
      </c>
      <c r="AB4">
        <v>74</v>
      </c>
      <c r="AC4" s="7">
        <v>43803</v>
      </c>
      <c r="AD4">
        <v>1</v>
      </c>
      <c r="AE4" t="s">
        <v>23</v>
      </c>
      <c r="AF4" t="s">
        <v>24</v>
      </c>
      <c r="AG4" t="s">
        <v>152</v>
      </c>
      <c r="AK4">
        <v>75</v>
      </c>
      <c r="AL4" s="7">
        <v>44899</v>
      </c>
      <c r="AM4">
        <v>1</v>
      </c>
      <c r="AN4" t="s">
        <v>72</v>
      </c>
      <c r="AO4" t="s">
        <v>73</v>
      </c>
      <c r="AP4" t="s">
        <v>173</v>
      </c>
      <c r="AT4">
        <v>64</v>
      </c>
      <c r="AU4" s="7">
        <v>45264</v>
      </c>
      <c r="AV4">
        <v>5</v>
      </c>
      <c r="AW4" t="s">
        <v>157</v>
      </c>
      <c r="AX4" t="s">
        <v>158</v>
      </c>
      <c r="AY4" t="s">
        <v>174</v>
      </c>
      <c r="BC4">
        <v>96</v>
      </c>
      <c r="BD4" s="7">
        <v>44169</v>
      </c>
      <c r="BE4">
        <v>1</v>
      </c>
      <c r="BF4" t="s">
        <v>25</v>
      </c>
      <c r="BG4" t="s">
        <v>26</v>
      </c>
      <c r="BH4" t="s">
        <v>175</v>
      </c>
    </row>
    <row r="5" spans="1:60" x14ac:dyDescent="0.3">
      <c r="A5">
        <v>14</v>
      </c>
      <c r="B5" s="7">
        <v>45264</v>
      </c>
      <c r="C5">
        <v>3</v>
      </c>
      <c r="D5" t="s">
        <v>12</v>
      </c>
      <c r="E5" t="s">
        <v>13</v>
      </c>
      <c r="F5" t="s">
        <v>9</v>
      </c>
      <c r="J5">
        <v>96</v>
      </c>
      <c r="K5" s="7">
        <v>44169</v>
      </c>
      <c r="L5">
        <v>1</v>
      </c>
      <c r="M5" t="s">
        <v>25</v>
      </c>
      <c r="N5" t="s">
        <v>26</v>
      </c>
      <c r="O5" t="s">
        <v>22</v>
      </c>
      <c r="S5">
        <v>30</v>
      </c>
      <c r="T5" s="7">
        <v>44534</v>
      </c>
      <c r="U5">
        <v>1</v>
      </c>
      <c r="V5" t="s">
        <v>62</v>
      </c>
      <c r="W5" t="s">
        <v>63</v>
      </c>
      <c r="X5" t="s">
        <v>59</v>
      </c>
      <c r="AB5">
        <v>96</v>
      </c>
      <c r="AC5" s="7">
        <v>44169</v>
      </c>
      <c r="AD5">
        <v>1</v>
      </c>
      <c r="AE5" t="s">
        <v>25</v>
      </c>
      <c r="AF5" t="s">
        <v>26</v>
      </c>
      <c r="AG5" t="s">
        <v>152</v>
      </c>
      <c r="AK5">
        <v>46</v>
      </c>
      <c r="AL5" s="7">
        <v>45264</v>
      </c>
      <c r="AM5">
        <v>2</v>
      </c>
      <c r="AN5" t="s">
        <v>39</v>
      </c>
      <c r="AO5" t="s">
        <v>40</v>
      </c>
      <c r="AP5" t="s">
        <v>173</v>
      </c>
      <c r="AT5">
        <v>72</v>
      </c>
      <c r="AU5" s="7">
        <v>45264</v>
      </c>
      <c r="AV5">
        <v>3</v>
      </c>
      <c r="AW5" t="s">
        <v>80</v>
      </c>
      <c r="AX5" t="s">
        <v>81</v>
      </c>
      <c r="AY5" t="s">
        <v>174</v>
      </c>
      <c r="BC5">
        <v>22</v>
      </c>
      <c r="BD5" s="7">
        <v>44169</v>
      </c>
      <c r="BE5">
        <v>1</v>
      </c>
      <c r="BF5" t="s">
        <v>176</v>
      </c>
      <c r="BG5" t="s">
        <v>177</v>
      </c>
      <c r="BH5" t="s">
        <v>175</v>
      </c>
    </row>
    <row r="6" spans="1:60" x14ac:dyDescent="0.3">
      <c r="A6">
        <v>33</v>
      </c>
      <c r="B6" s="7">
        <v>45264</v>
      </c>
      <c r="C6">
        <v>1</v>
      </c>
      <c r="D6" t="s">
        <v>14</v>
      </c>
      <c r="E6" t="s">
        <v>15</v>
      </c>
      <c r="F6" t="s">
        <v>9</v>
      </c>
      <c r="J6">
        <v>98</v>
      </c>
      <c r="K6" s="7">
        <v>44534</v>
      </c>
      <c r="L6">
        <v>1</v>
      </c>
      <c r="M6" t="s">
        <v>27</v>
      </c>
      <c r="N6" t="s">
        <v>28</v>
      </c>
      <c r="O6" t="s">
        <v>22</v>
      </c>
      <c r="S6">
        <v>81</v>
      </c>
      <c r="T6" s="7">
        <v>44534</v>
      </c>
      <c r="U6">
        <v>4</v>
      </c>
      <c r="V6" t="s">
        <v>64</v>
      </c>
      <c r="W6" t="s">
        <v>65</v>
      </c>
      <c r="X6" t="s">
        <v>59</v>
      </c>
      <c r="AB6">
        <v>92</v>
      </c>
      <c r="AC6" s="7">
        <v>44534</v>
      </c>
      <c r="AD6">
        <v>1</v>
      </c>
      <c r="AE6" t="s">
        <v>7</v>
      </c>
      <c r="AF6" t="s">
        <v>8</v>
      </c>
      <c r="AG6" t="s">
        <v>152</v>
      </c>
      <c r="AK6">
        <v>18</v>
      </c>
      <c r="AL6" s="7">
        <v>45569</v>
      </c>
      <c r="AM6">
        <v>1</v>
      </c>
      <c r="AN6" t="s">
        <v>140</v>
      </c>
      <c r="AO6" t="s">
        <v>141</v>
      </c>
      <c r="AP6" t="s">
        <v>173</v>
      </c>
      <c r="BC6">
        <v>81</v>
      </c>
      <c r="BD6" s="7">
        <v>44534</v>
      </c>
      <c r="BE6">
        <v>4</v>
      </c>
      <c r="BF6" t="s">
        <v>64</v>
      </c>
      <c r="BG6" t="s">
        <v>65</v>
      </c>
      <c r="BH6" t="s">
        <v>175</v>
      </c>
    </row>
    <row r="7" spans="1:60" x14ac:dyDescent="0.3">
      <c r="A7">
        <v>68</v>
      </c>
      <c r="B7" s="7">
        <v>45264</v>
      </c>
      <c r="C7">
        <v>2</v>
      </c>
      <c r="D7" t="s">
        <v>16</v>
      </c>
      <c r="E7" t="s">
        <v>17</v>
      </c>
      <c r="F7" t="s">
        <v>9</v>
      </c>
      <c r="J7">
        <v>86</v>
      </c>
      <c r="K7" s="7">
        <v>44534</v>
      </c>
      <c r="L7">
        <v>3</v>
      </c>
      <c r="M7" t="s">
        <v>29</v>
      </c>
      <c r="N7" t="s">
        <v>30</v>
      </c>
      <c r="O7" t="s">
        <v>22</v>
      </c>
      <c r="S7">
        <v>89</v>
      </c>
      <c r="T7" s="7">
        <v>44534</v>
      </c>
      <c r="U7">
        <v>1</v>
      </c>
      <c r="V7" t="s">
        <v>66</v>
      </c>
      <c r="W7" t="s">
        <v>67</v>
      </c>
      <c r="X7" t="s">
        <v>59</v>
      </c>
      <c r="AB7">
        <v>66</v>
      </c>
      <c r="AC7" s="7">
        <v>44534</v>
      </c>
      <c r="AD7">
        <v>2</v>
      </c>
      <c r="AE7" t="s">
        <v>68</v>
      </c>
      <c r="AF7" t="s">
        <v>69</v>
      </c>
      <c r="AG7" t="s">
        <v>152</v>
      </c>
      <c r="BC7">
        <v>98</v>
      </c>
      <c r="BD7" s="7">
        <v>44534</v>
      </c>
      <c r="BE7">
        <v>1</v>
      </c>
      <c r="BF7" t="s">
        <v>27</v>
      </c>
      <c r="BG7" t="s">
        <v>28</v>
      </c>
      <c r="BH7" t="s">
        <v>175</v>
      </c>
    </row>
    <row r="8" spans="1:60" x14ac:dyDescent="0.3">
      <c r="A8">
        <v>9</v>
      </c>
      <c r="B8" s="7">
        <v>45539</v>
      </c>
      <c r="C8">
        <v>1</v>
      </c>
      <c r="D8" t="s">
        <v>18</v>
      </c>
      <c r="E8" t="s">
        <v>19</v>
      </c>
      <c r="F8" t="s">
        <v>9</v>
      </c>
      <c r="J8">
        <v>82</v>
      </c>
      <c r="K8" s="7">
        <v>44899</v>
      </c>
      <c r="L8">
        <v>4</v>
      </c>
      <c r="M8" t="s">
        <v>31</v>
      </c>
      <c r="N8" t="s">
        <v>32</v>
      </c>
      <c r="O8" t="s">
        <v>22</v>
      </c>
      <c r="S8">
        <v>66</v>
      </c>
      <c r="T8" s="7">
        <v>44534</v>
      </c>
      <c r="U8">
        <v>2</v>
      </c>
      <c r="V8" t="s">
        <v>68</v>
      </c>
      <c r="W8" t="s">
        <v>69</v>
      </c>
      <c r="X8" t="s">
        <v>59</v>
      </c>
      <c r="AB8">
        <v>87</v>
      </c>
      <c r="AC8" s="7">
        <v>44899</v>
      </c>
      <c r="AD8">
        <v>1</v>
      </c>
      <c r="AE8" t="s">
        <v>74</v>
      </c>
      <c r="AF8" t="s">
        <v>75</v>
      </c>
      <c r="AG8" t="s">
        <v>152</v>
      </c>
      <c r="BC8">
        <v>95</v>
      </c>
      <c r="BD8" s="7">
        <v>44534</v>
      </c>
      <c r="BE8">
        <v>1</v>
      </c>
      <c r="BF8" t="s">
        <v>70</v>
      </c>
      <c r="BG8" t="s">
        <v>71</v>
      </c>
      <c r="BH8" t="s">
        <v>175</v>
      </c>
    </row>
    <row r="9" spans="1:60" x14ac:dyDescent="0.3">
      <c r="J9">
        <v>31</v>
      </c>
      <c r="K9" s="7">
        <v>44899</v>
      </c>
      <c r="L9">
        <v>1</v>
      </c>
      <c r="M9" t="s">
        <v>33</v>
      </c>
      <c r="N9" t="s">
        <v>34</v>
      </c>
      <c r="O9" t="s">
        <v>22</v>
      </c>
      <c r="S9">
        <v>92</v>
      </c>
      <c r="T9" s="7">
        <v>44534</v>
      </c>
      <c r="U9">
        <v>1</v>
      </c>
      <c r="V9" t="s">
        <v>7</v>
      </c>
      <c r="W9" t="s">
        <v>8</v>
      </c>
      <c r="X9" t="s">
        <v>59</v>
      </c>
      <c r="AB9">
        <v>75</v>
      </c>
      <c r="AC9" s="7">
        <v>44899</v>
      </c>
      <c r="AD9">
        <v>1</v>
      </c>
      <c r="AE9" t="s">
        <v>72</v>
      </c>
      <c r="AF9" t="s">
        <v>73</v>
      </c>
      <c r="AG9" t="s">
        <v>152</v>
      </c>
      <c r="BC9">
        <v>89</v>
      </c>
      <c r="BD9" s="7">
        <v>44534</v>
      </c>
      <c r="BE9">
        <v>1</v>
      </c>
      <c r="BF9" t="s">
        <v>66</v>
      </c>
      <c r="BG9" t="s">
        <v>67</v>
      </c>
      <c r="BH9" t="s">
        <v>175</v>
      </c>
    </row>
    <row r="10" spans="1:60" x14ac:dyDescent="0.3">
      <c r="J10">
        <v>63</v>
      </c>
      <c r="K10" s="7">
        <v>44899</v>
      </c>
      <c r="L10">
        <v>2</v>
      </c>
      <c r="M10" t="s">
        <v>35</v>
      </c>
      <c r="N10" t="s">
        <v>36</v>
      </c>
      <c r="O10" t="s">
        <v>22</v>
      </c>
      <c r="S10">
        <v>95</v>
      </c>
      <c r="T10" s="7">
        <v>44534</v>
      </c>
      <c r="U10">
        <v>1</v>
      </c>
      <c r="V10" t="s">
        <v>70</v>
      </c>
      <c r="W10" t="s">
        <v>71</v>
      </c>
      <c r="X10" t="s">
        <v>59</v>
      </c>
      <c r="AB10">
        <v>65</v>
      </c>
      <c r="AC10" s="7">
        <v>44899</v>
      </c>
      <c r="AD10">
        <v>3</v>
      </c>
      <c r="AE10" t="s">
        <v>10</v>
      </c>
      <c r="AF10" t="s">
        <v>11</v>
      </c>
      <c r="AG10" t="s">
        <v>152</v>
      </c>
      <c r="BC10">
        <v>63</v>
      </c>
      <c r="BD10" s="7">
        <v>44899</v>
      </c>
      <c r="BE10">
        <v>2</v>
      </c>
      <c r="BF10" t="s">
        <v>35</v>
      </c>
      <c r="BG10" t="s">
        <v>36</v>
      </c>
      <c r="BH10" t="s">
        <v>175</v>
      </c>
    </row>
    <row r="11" spans="1:60" x14ac:dyDescent="0.3">
      <c r="J11">
        <v>90</v>
      </c>
      <c r="K11" s="7">
        <v>45264</v>
      </c>
      <c r="L11">
        <v>1</v>
      </c>
      <c r="M11" t="s">
        <v>37</v>
      </c>
      <c r="N11" t="s">
        <v>38</v>
      </c>
      <c r="O11" t="s">
        <v>22</v>
      </c>
      <c r="S11">
        <v>75</v>
      </c>
      <c r="T11" s="7">
        <v>44899</v>
      </c>
      <c r="U11">
        <v>1</v>
      </c>
      <c r="V11" t="s">
        <v>72</v>
      </c>
      <c r="W11" t="s">
        <v>73</v>
      </c>
      <c r="X11" t="s">
        <v>59</v>
      </c>
      <c r="AB11">
        <v>77</v>
      </c>
      <c r="AC11" s="7">
        <v>45264</v>
      </c>
      <c r="AD11">
        <v>4</v>
      </c>
      <c r="AE11" t="s">
        <v>100</v>
      </c>
      <c r="AF11" t="s">
        <v>101</v>
      </c>
      <c r="AG11" t="s">
        <v>152</v>
      </c>
      <c r="BC11">
        <v>83</v>
      </c>
      <c r="BD11" s="7">
        <v>44899</v>
      </c>
      <c r="BE11">
        <v>1</v>
      </c>
      <c r="BF11" t="s">
        <v>178</v>
      </c>
      <c r="BG11" t="s">
        <v>179</v>
      </c>
      <c r="BH11" t="s">
        <v>175</v>
      </c>
    </row>
    <row r="12" spans="1:60" x14ac:dyDescent="0.3">
      <c r="J12">
        <v>46</v>
      </c>
      <c r="K12" s="7">
        <v>45264</v>
      </c>
      <c r="L12">
        <v>2</v>
      </c>
      <c r="M12" t="s">
        <v>39</v>
      </c>
      <c r="N12" t="s">
        <v>40</v>
      </c>
      <c r="O12" t="s">
        <v>22</v>
      </c>
      <c r="S12">
        <v>63</v>
      </c>
      <c r="T12" s="7">
        <v>44899</v>
      </c>
      <c r="U12">
        <v>2</v>
      </c>
      <c r="V12" t="s">
        <v>35</v>
      </c>
      <c r="W12" t="s">
        <v>36</v>
      </c>
      <c r="X12" t="s">
        <v>59</v>
      </c>
      <c r="AB12">
        <v>72</v>
      </c>
      <c r="AC12" s="7">
        <v>45264</v>
      </c>
      <c r="AD12">
        <v>3</v>
      </c>
      <c r="AE12" t="s">
        <v>80</v>
      </c>
      <c r="AF12" t="s">
        <v>81</v>
      </c>
      <c r="AG12" t="s">
        <v>152</v>
      </c>
      <c r="BC12">
        <v>82</v>
      </c>
      <c r="BD12" s="7">
        <v>44899</v>
      </c>
      <c r="BE12">
        <v>4</v>
      </c>
      <c r="BF12" t="s">
        <v>31</v>
      </c>
      <c r="BG12" t="s">
        <v>32</v>
      </c>
      <c r="BH12" t="s">
        <v>175</v>
      </c>
    </row>
    <row r="13" spans="1:60" x14ac:dyDescent="0.3">
      <c r="J13">
        <v>32</v>
      </c>
      <c r="K13" s="7">
        <v>45355</v>
      </c>
      <c r="L13">
        <v>2</v>
      </c>
      <c r="M13" t="s">
        <v>41</v>
      </c>
      <c r="N13" t="s">
        <v>42</v>
      </c>
      <c r="O13" t="s">
        <v>22</v>
      </c>
      <c r="S13">
        <v>87</v>
      </c>
      <c r="T13" s="7">
        <v>44899</v>
      </c>
      <c r="U13">
        <v>1</v>
      </c>
      <c r="V13" t="s">
        <v>74</v>
      </c>
      <c r="W13" t="s">
        <v>75</v>
      </c>
      <c r="X13" t="s">
        <v>59</v>
      </c>
      <c r="AB13">
        <v>71</v>
      </c>
      <c r="AC13" s="7">
        <v>45264</v>
      </c>
      <c r="AD13">
        <v>1</v>
      </c>
      <c r="AE13" t="s">
        <v>153</v>
      </c>
      <c r="AF13" t="s">
        <v>154</v>
      </c>
      <c r="AG13" t="s">
        <v>152</v>
      </c>
      <c r="BC13">
        <v>97</v>
      </c>
      <c r="BD13" s="7">
        <v>44899</v>
      </c>
      <c r="BE13">
        <v>1</v>
      </c>
      <c r="BF13" t="s">
        <v>78</v>
      </c>
      <c r="BG13" t="s">
        <v>79</v>
      </c>
      <c r="BH13" t="s">
        <v>175</v>
      </c>
    </row>
    <row r="14" spans="1:60" x14ac:dyDescent="0.3">
      <c r="J14">
        <v>24</v>
      </c>
      <c r="K14" s="7">
        <v>45386</v>
      </c>
      <c r="L14">
        <v>1</v>
      </c>
      <c r="M14" t="s">
        <v>43</v>
      </c>
      <c r="N14" t="s">
        <v>44</v>
      </c>
      <c r="O14" t="s">
        <v>22</v>
      </c>
      <c r="S14">
        <v>31</v>
      </c>
      <c r="T14" s="7">
        <v>44899</v>
      </c>
      <c r="U14">
        <v>1</v>
      </c>
      <c r="V14" t="s">
        <v>33</v>
      </c>
      <c r="W14" t="s">
        <v>34</v>
      </c>
      <c r="X14" t="s">
        <v>59</v>
      </c>
      <c r="AB14">
        <v>52</v>
      </c>
      <c r="AC14" s="7">
        <v>45264</v>
      </c>
      <c r="AD14">
        <v>1</v>
      </c>
      <c r="AE14" t="s">
        <v>82</v>
      </c>
      <c r="AF14" t="s">
        <v>83</v>
      </c>
      <c r="AG14" t="s">
        <v>152</v>
      </c>
      <c r="BC14">
        <v>73</v>
      </c>
      <c r="BD14" s="7">
        <v>44899</v>
      </c>
      <c r="BE14">
        <v>3</v>
      </c>
      <c r="BF14" t="s">
        <v>180</v>
      </c>
      <c r="BG14" t="s">
        <v>181</v>
      </c>
      <c r="BH14" t="s">
        <v>175</v>
      </c>
    </row>
    <row r="15" spans="1:60" x14ac:dyDescent="0.3">
      <c r="J15">
        <v>20</v>
      </c>
      <c r="K15" s="7">
        <v>45416</v>
      </c>
      <c r="L15">
        <v>4</v>
      </c>
      <c r="M15" t="s">
        <v>45</v>
      </c>
      <c r="N15" t="s">
        <v>46</v>
      </c>
      <c r="O15" t="s">
        <v>22</v>
      </c>
      <c r="S15">
        <v>82</v>
      </c>
      <c r="T15" s="7">
        <v>44899</v>
      </c>
      <c r="U15">
        <v>4</v>
      </c>
      <c r="V15" t="s">
        <v>31</v>
      </c>
      <c r="W15" t="s">
        <v>32</v>
      </c>
      <c r="X15" t="s">
        <v>59</v>
      </c>
      <c r="AB15">
        <v>69</v>
      </c>
      <c r="AC15" s="7">
        <v>45264</v>
      </c>
      <c r="AD15">
        <v>1</v>
      </c>
      <c r="AE15" t="s">
        <v>155</v>
      </c>
      <c r="AF15" t="s">
        <v>156</v>
      </c>
      <c r="AG15" t="s">
        <v>152</v>
      </c>
      <c r="BC15">
        <v>88</v>
      </c>
      <c r="BD15" s="7">
        <v>45264</v>
      </c>
      <c r="BE15">
        <v>1</v>
      </c>
      <c r="BF15" t="s">
        <v>108</v>
      </c>
      <c r="BG15" t="s">
        <v>109</v>
      </c>
      <c r="BH15" t="s">
        <v>175</v>
      </c>
    </row>
    <row r="16" spans="1:60" x14ac:dyDescent="0.3">
      <c r="J16">
        <v>44</v>
      </c>
      <c r="K16" s="7">
        <v>45416</v>
      </c>
      <c r="L16">
        <v>5</v>
      </c>
      <c r="M16" t="s">
        <v>47</v>
      </c>
      <c r="N16" t="s">
        <v>48</v>
      </c>
      <c r="O16" t="s">
        <v>22</v>
      </c>
      <c r="S16">
        <v>65</v>
      </c>
      <c r="T16" s="7">
        <v>44899</v>
      </c>
      <c r="U16">
        <v>3</v>
      </c>
      <c r="V16" t="s">
        <v>10</v>
      </c>
      <c r="W16" t="s">
        <v>11</v>
      </c>
      <c r="X16" t="s">
        <v>59</v>
      </c>
      <c r="AB16">
        <v>68</v>
      </c>
      <c r="AC16" s="7">
        <v>45264</v>
      </c>
      <c r="AD16">
        <v>2</v>
      </c>
      <c r="AE16" t="s">
        <v>16</v>
      </c>
      <c r="AF16" t="s">
        <v>17</v>
      </c>
      <c r="AG16" t="s">
        <v>152</v>
      </c>
      <c r="BC16">
        <v>64</v>
      </c>
      <c r="BD16" s="7">
        <v>45264</v>
      </c>
      <c r="BE16">
        <v>5</v>
      </c>
      <c r="BF16" t="s">
        <v>157</v>
      </c>
      <c r="BG16" t="s">
        <v>158</v>
      </c>
      <c r="BH16" t="s">
        <v>175</v>
      </c>
    </row>
    <row r="17" spans="8:60" x14ac:dyDescent="0.3">
      <c r="J17">
        <v>60</v>
      </c>
      <c r="K17" s="7">
        <v>45508</v>
      </c>
      <c r="L17">
        <v>4</v>
      </c>
      <c r="M17" t="s">
        <v>49</v>
      </c>
      <c r="N17" t="s">
        <v>50</v>
      </c>
      <c r="O17" t="s">
        <v>22</v>
      </c>
      <c r="S17">
        <v>76</v>
      </c>
      <c r="T17" s="7">
        <v>44899</v>
      </c>
      <c r="U17">
        <v>1</v>
      </c>
      <c r="V17" t="s">
        <v>76</v>
      </c>
      <c r="W17" t="s">
        <v>77</v>
      </c>
      <c r="X17" t="s">
        <v>59</v>
      </c>
      <c r="AB17">
        <v>64</v>
      </c>
      <c r="AC17" s="7">
        <v>45264</v>
      </c>
      <c r="AD17">
        <v>5</v>
      </c>
      <c r="AE17" t="s">
        <v>157</v>
      </c>
      <c r="AF17" t="s">
        <v>158</v>
      </c>
      <c r="AG17" t="s">
        <v>152</v>
      </c>
      <c r="BC17">
        <v>71</v>
      </c>
      <c r="BD17" s="7">
        <v>45264</v>
      </c>
      <c r="BE17">
        <v>1</v>
      </c>
      <c r="BF17" t="s">
        <v>153</v>
      </c>
      <c r="BG17" t="s">
        <v>154</v>
      </c>
      <c r="BH17" t="s">
        <v>175</v>
      </c>
    </row>
    <row r="18" spans="8:60" x14ac:dyDescent="0.3">
      <c r="J18">
        <v>1</v>
      </c>
      <c r="K18" s="7">
        <v>45539</v>
      </c>
      <c r="L18">
        <v>1</v>
      </c>
      <c r="M18" t="s">
        <v>51</v>
      </c>
      <c r="N18" t="s">
        <v>52</v>
      </c>
      <c r="O18" t="s">
        <v>22</v>
      </c>
      <c r="S18">
        <v>97</v>
      </c>
      <c r="T18" s="7">
        <v>44899</v>
      </c>
      <c r="U18">
        <v>1</v>
      </c>
      <c r="V18" t="s">
        <v>78</v>
      </c>
      <c r="W18" t="s">
        <v>79</v>
      </c>
      <c r="X18" t="s">
        <v>59</v>
      </c>
      <c r="AB18">
        <v>59</v>
      </c>
      <c r="AC18" s="7">
        <v>45264</v>
      </c>
      <c r="AD18">
        <v>4</v>
      </c>
      <c r="AE18" t="s">
        <v>159</v>
      </c>
      <c r="AF18" t="s">
        <v>160</v>
      </c>
      <c r="AG18" t="s">
        <v>152</v>
      </c>
      <c r="BC18">
        <v>72</v>
      </c>
      <c r="BD18" s="7">
        <v>45264</v>
      </c>
      <c r="BE18">
        <v>3</v>
      </c>
      <c r="BF18" t="s">
        <v>80</v>
      </c>
      <c r="BG18" t="s">
        <v>81</v>
      </c>
      <c r="BH18" t="s">
        <v>175</v>
      </c>
    </row>
    <row r="19" spans="8:60" x14ac:dyDescent="0.3">
      <c r="J19">
        <v>28</v>
      </c>
      <c r="K19" s="7">
        <v>45600</v>
      </c>
      <c r="L19">
        <v>2</v>
      </c>
      <c r="M19" t="s">
        <v>53</v>
      </c>
      <c r="N19" t="s">
        <v>54</v>
      </c>
      <c r="O19" t="s">
        <v>22</v>
      </c>
      <c r="S19">
        <v>72</v>
      </c>
      <c r="T19" s="7">
        <v>45264</v>
      </c>
      <c r="U19">
        <v>3</v>
      </c>
      <c r="V19" t="s">
        <v>80</v>
      </c>
      <c r="W19" t="s">
        <v>81</v>
      </c>
      <c r="X19" t="s">
        <v>59</v>
      </c>
      <c r="AB19">
        <v>54</v>
      </c>
      <c r="AC19" s="7">
        <v>45264</v>
      </c>
      <c r="AD19">
        <v>3</v>
      </c>
      <c r="AE19" t="s">
        <v>94</v>
      </c>
      <c r="AF19" t="s">
        <v>95</v>
      </c>
      <c r="AG19" t="s">
        <v>152</v>
      </c>
      <c r="BC19">
        <v>77</v>
      </c>
      <c r="BD19" s="7">
        <v>45264</v>
      </c>
      <c r="BE19">
        <v>4</v>
      </c>
      <c r="BF19" t="s">
        <v>100</v>
      </c>
      <c r="BG19" t="s">
        <v>101</v>
      </c>
      <c r="BH19" t="s">
        <v>175</v>
      </c>
    </row>
    <row r="20" spans="8:60" x14ac:dyDescent="0.3">
      <c r="J20">
        <v>2</v>
      </c>
      <c r="K20" s="7">
        <v>45625</v>
      </c>
      <c r="L20">
        <v>4</v>
      </c>
      <c r="M20" t="s">
        <v>55</v>
      </c>
      <c r="N20" t="s">
        <v>56</v>
      </c>
      <c r="O20" t="s">
        <v>22</v>
      </c>
      <c r="S20">
        <v>90</v>
      </c>
      <c r="T20" s="7">
        <v>45264</v>
      </c>
      <c r="U20">
        <v>1</v>
      </c>
      <c r="V20" t="s">
        <v>37</v>
      </c>
      <c r="W20" t="s">
        <v>38</v>
      </c>
      <c r="X20" t="s">
        <v>59</v>
      </c>
      <c r="AB20">
        <v>90</v>
      </c>
      <c r="AC20" s="7">
        <v>45264</v>
      </c>
      <c r="AD20">
        <v>1</v>
      </c>
      <c r="AE20" t="s">
        <v>37</v>
      </c>
      <c r="AF20" t="s">
        <v>38</v>
      </c>
      <c r="AG20" t="s">
        <v>152</v>
      </c>
      <c r="BC20">
        <v>79</v>
      </c>
      <c r="BD20" s="7">
        <v>45264</v>
      </c>
      <c r="BE20">
        <v>4</v>
      </c>
      <c r="BF20" t="s">
        <v>182</v>
      </c>
      <c r="BG20" t="s">
        <v>183</v>
      </c>
      <c r="BH20" t="s">
        <v>175</v>
      </c>
    </row>
    <row r="21" spans="8:60" x14ac:dyDescent="0.3">
      <c r="J21">
        <v>6</v>
      </c>
      <c r="K21" s="7">
        <v>45627</v>
      </c>
      <c r="L21">
        <v>1</v>
      </c>
      <c r="M21" t="s">
        <v>57</v>
      </c>
      <c r="N21" t="s">
        <v>58</v>
      </c>
      <c r="O21" t="s">
        <v>22</v>
      </c>
      <c r="S21">
        <v>52</v>
      </c>
      <c r="T21" s="7">
        <v>45264</v>
      </c>
      <c r="U21">
        <v>1</v>
      </c>
      <c r="V21" t="s">
        <v>82</v>
      </c>
      <c r="W21" t="s">
        <v>83</v>
      </c>
      <c r="X21" t="s">
        <v>59</v>
      </c>
      <c r="AB21">
        <v>70</v>
      </c>
      <c r="AC21" s="7">
        <v>45264</v>
      </c>
      <c r="AD21">
        <v>1</v>
      </c>
      <c r="AE21" t="s">
        <v>86</v>
      </c>
      <c r="AF21" t="s">
        <v>87</v>
      </c>
      <c r="AG21" t="s">
        <v>152</v>
      </c>
      <c r="BC21">
        <v>57</v>
      </c>
      <c r="BD21" s="7">
        <v>45264</v>
      </c>
      <c r="BE21">
        <v>4</v>
      </c>
      <c r="BF21" t="s">
        <v>88</v>
      </c>
      <c r="BG21" t="s">
        <v>89</v>
      </c>
      <c r="BH21" t="s">
        <v>175</v>
      </c>
    </row>
    <row r="22" spans="8:60" x14ac:dyDescent="0.3">
      <c r="S22">
        <v>43</v>
      </c>
      <c r="T22" s="7">
        <v>45264</v>
      </c>
      <c r="U22">
        <v>3</v>
      </c>
      <c r="V22" t="s">
        <v>84</v>
      </c>
      <c r="W22" t="s">
        <v>85</v>
      </c>
      <c r="X22" t="s">
        <v>59</v>
      </c>
      <c r="AB22">
        <v>49</v>
      </c>
      <c r="AC22" s="7">
        <v>45264</v>
      </c>
      <c r="AD22">
        <v>1</v>
      </c>
      <c r="AE22" t="s">
        <v>92</v>
      </c>
      <c r="AF22" t="s">
        <v>93</v>
      </c>
      <c r="AG22" t="s">
        <v>152</v>
      </c>
      <c r="BC22">
        <v>85</v>
      </c>
      <c r="BD22" s="7">
        <v>45264</v>
      </c>
      <c r="BE22">
        <v>5</v>
      </c>
      <c r="BF22" t="s">
        <v>106</v>
      </c>
      <c r="BG22" t="s">
        <v>107</v>
      </c>
      <c r="BH22" t="s">
        <v>175</v>
      </c>
    </row>
    <row r="23" spans="8:60" x14ac:dyDescent="0.3">
      <c r="S23">
        <v>70</v>
      </c>
      <c r="T23" s="7">
        <v>45264</v>
      </c>
      <c r="U23">
        <v>1</v>
      </c>
      <c r="V23" t="s">
        <v>86</v>
      </c>
      <c r="W23" t="s">
        <v>87</v>
      </c>
      <c r="X23" t="s">
        <v>59</v>
      </c>
      <c r="AB23">
        <v>8</v>
      </c>
      <c r="AC23" s="7">
        <v>45264</v>
      </c>
      <c r="AD23">
        <v>1</v>
      </c>
      <c r="AE23" t="s">
        <v>98</v>
      </c>
      <c r="AF23" t="s">
        <v>99</v>
      </c>
      <c r="AG23" t="s">
        <v>152</v>
      </c>
      <c r="BC23">
        <v>78</v>
      </c>
      <c r="BD23" s="7">
        <v>45264</v>
      </c>
      <c r="BE23">
        <v>5</v>
      </c>
      <c r="BF23" t="s">
        <v>102</v>
      </c>
      <c r="BG23" t="s">
        <v>103</v>
      </c>
      <c r="BH23" t="s">
        <v>175</v>
      </c>
    </row>
    <row r="24" spans="8:60" x14ac:dyDescent="0.3">
      <c r="S24">
        <v>57</v>
      </c>
      <c r="T24" s="7">
        <v>45264</v>
      </c>
      <c r="U24">
        <v>4</v>
      </c>
      <c r="V24" t="s">
        <v>88</v>
      </c>
      <c r="W24" t="s">
        <v>89</v>
      </c>
      <c r="X24" t="s">
        <v>59</v>
      </c>
      <c r="AB24">
        <v>43</v>
      </c>
      <c r="AC24" s="7">
        <v>45264</v>
      </c>
      <c r="AD24">
        <v>3</v>
      </c>
      <c r="AE24" t="s">
        <v>84</v>
      </c>
      <c r="AF24" t="s">
        <v>85</v>
      </c>
      <c r="AG24" t="s">
        <v>152</v>
      </c>
      <c r="BC24">
        <v>53</v>
      </c>
      <c r="BD24" s="7">
        <v>45264</v>
      </c>
      <c r="BE24">
        <v>1</v>
      </c>
      <c r="BF24" t="s">
        <v>184</v>
      </c>
      <c r="BG24" t="s">
        <v>185</v>
      </c>
      <c r="BH24" t="s">
        <v>175</v>
      </c>
    </row>
    <row r="25" spans="8:60" x14ac:dyDescent="0.3">
      <c r="S25">
        <v>58</v>
      </c>
      <c r="T25" s="7">
        <v>45264</v>
      </c>
      <c r="U25">
        <v>1</v>
      </c>
      <c r="V25" t="s">
        <v>90</v>
      </c>
      <c r="W25" t="s">
        <v>91</v>
      </c>
      <c r="X25" t="s">
        <v>59</v>
      </c>
      <c r="AB25">
        <v>42</v>
      </c>
      <c r="AC25" s="7">
        <v>45264</v>
      </c>
      <c r="AD25">
        <v>1</v>
      </c>
      <c r="AE25" t="s">
        <v>161</v>
      </c>
      <c r="AF25" t="s">
        <v>162</v>
      </c>
      <c r="AG25" t="s">
        <v>152</v>
      </c>
      <c r="BC25">
        <v>100</v>
      </c>
      <c r="BD25" s="7">
        <v>45264</v>
      </c>
      <c r="BE25">
        <v>4</v>
      </c>
      <c r="BF25" t="s">
        <v>186</v>
      </c>
      <c r="BG25" t="s">
        <v>187</v>
      </c>
      <c r="BH25" t="s">
        <v>175</v>
      </c>
    </row>
    <row r="26" spans="8:60" x14ac:dyDescent="0.3">
      <c r="S26">
        <v>49</v>
      </c>
      <c r="T26" s="7">
        <v>45264</v>
      </c>
      <c r="U26">
        <v>1</v>
      </c>
      <c r="V26" t="s">
        <v>92</v>
      </c>
      <c r="W26" t="s">
        <v>93</v>
      </c>
      <c r="X26" t="s">
        <v>59</v>
      </c>
      <c r="AB26">
        <v>34</v>
      </c>
      <c r="AC26" s="7">
        <v>45264</v>
      </c>
      <c r="AD26">
        <v>1</v>
      </c>
      <c r="AE26" t="s">
        <v>96</v>
      </c>
      <c r="AF26" t="s">
        <v>97</v>
      </c>
      <c r="AG26" t="s">
        <v>152</v>
      </c>
      <c r="BC26">
        <v>50</v>
      </c>
      <c r="BD26" s="7">
        <v>45264</v>
      </c>
      <c r="BE26">
        <v>1</v>
      </c>
      <c r="BF26" t="s">
        <v>188</v>
      </c>
      <c r="BG26" t="s">
        <v>189</v>
      </c>
      <c r="BH26" t="s">
        <v>175</v>
      </c>
    </row>
    <row r="27" spans="8:60" x14ac:dyDescent="0.3">
      <c r="S27">
        <v>54</v>
      </c>
      <c r="T27" s="7">
        <v>45264</v>
      </c>
      <c r="U27">
        <v>3</v>
      </c>
      <c r="V27" t="s">
        <v>94</v>
      </c>
      <c r="W27" t="s">
        <v>95</v>
      </c>
      <c r="X27" t="s">
        <v>59</v>
      </c>
      <c r="AB27">
        <v>14</v>
      </c>
      <c r="AC27" s="7">
        <v>45264</v>
      </c>
      <c r="AD27">
        <v>3</v>
      </c>
      <c r="AE27" t="s">
        <v>12</v>
      </c>
      <c r="AF27" t="s">
        <v>13</v>
      </c>
      <c r="AG27" t="s">
        <v>152</v>
      </c>
      <c r="BC27">
        <v>49</v>
      </c>
      <c r="BD27" s="7">
        <v>45264</v>
      </c>
      <c r="BE27">
        <v>1</v>
      </c>
      <c r="BF27" t="s">
        <v>92</v>
      </c>
      <c r="BG27" t="s">
        <v>93</v>
      </c>
      <c r="BH27" t="s">
        <v>175</v>
      </c>
    </row>
    <row r="28" spans="8:60" x14ac:dyDescent="0.3">
      <c r="S28">
        <v>34</v>
      </c>
      <c r="T28" s="7">
        <v>45264</v>
      </c>
      <c r="U28">
        <v>1</v>
      </c>
      <c r="V28" t="s">
        <v>96</v>
      </c>
      <c r="W28" t="s">
        <v>97</v>
      </c>
      <c r="X28" t="s">
        <v>59</v>
      </c>
      <c r="AB28">
        <v>41</v>
      </c>
      <c r="AC28" s="7">
        <v>45295</v>
      </c>
      <c r="AD28">
        <v>1</v>
      </c>
      <c r="AE28" t="s">
        <v>163</v>
      </c>
      <c r="AF28" t="s">
        <v>164</v>
      </c>
      <c r="AG28" t="s">
        <v>152</v>
      </c>
      <c r="BC28">
        <v>48</v>
      </c>
      <c r="BD28" s="7">
        <v>45264</v>
      </c>
      <c r="BE28">
        <v>1</v>
      </c>
      <c r="BF28" t="s">
        <v>110</v>
      </c>
      <c r="BG28" t="s">
        <v>111</v>
      </c>
      <c r="BH28" t="s">
        <v>175</v>
      </c>
    </row>
    <row r="29" spans="8:60" x14ac:dyDescent="0.3">
      <c r="S29">
        <v>8</v>
      </c>
      <c r="T29" s="7">
        <v>45264</v>
      </c>
      <c r="U29">
        <v>1</v>
      </c>
      <c r="V29" t="s">
        <v>98</v>
      </c>
      <c r="W29" t="s">
        <v>99</v>
      </c>
      <c r="X29" t="s">
        <v>59</v>
      </c>
      <c r="AB29">
        <v>51</v>
      </c>
      <c r="AC29" s="7">
        <v>45326</v>
      </c>
      <c r="AD29">
        <v>1</v>
      </c>
      <c r="AE29" t="s">
        <v>112</v>
      </c>
      <c r="AF29" t="s">
        <v>113</v>
      </c>
      <c r="AG29" t="s">
        <v>152</v>
      </c>
      <c r="BC29">
        <v>46</v>
      </c>
      <c r="BD29" s="7">
        <v>45264</v>
      </c>
      <c r="BE29">
        <v>2</v>
      </c>
      <c r="BF29" t="s">
        <v>39</v>
      </c>
      <c r="BG29" t="s">
        <v>40</v>
      </c>
      <c r="BH29" t="s">
        <v>175</v>
      </c>
    </row>
    <row r="30" spans="8:60" x14ac:dyDescent="0.3">
      <c r="H30" s="7"/>
      <c r="S30">
        <v>33</v>
      </c>
      <c r="T30" s="7">
        <v>45264</v>
      </c>
      <c r="U30">
        <v>1</v>
      </c>
      <c r="V30" t="s">
        <v>14</v>
      </c>
      <c r="W30" t="s">
        <v>15</v>
      </c>
      <c r="X30" t="s">
        <v>59</v>
      </c>
      <c r="AB30">
        <v>21</v>
      </c>
      <c r="AC30" s="7">
        <v>45326</v>
      </c>
      <c r="AD30">
        <v>1</v>
      </c>
      <c r="AE30" t="s">
        <v>165</v>
      </c>
      <c r="AF30" t="s">
        <v>166</v>
      </c>
      <c r="AG30" t="s">
        <v>152</v>
      </c>
      <c r="BC30">
        <v>42</v>
      </c>
      <c r="BD30" s="7">
        <v>45264</v>
      </c>
      <c r="BE30">
        <v>1</v>
      </c>
      <c r="BF30" t="s">
        <v>161</v>
      </c>
      <c r="BG30" t="s">
        <v>162</v>
      </c>
      <c r="BH30" t="s">
        <v>175</v>
      </c>
    </row>
    <row r="31" spans="8:60" x14ac:dyDescent="0.3">
      <c r="S31">
        <v>77</v>
      </c>
      <c r="T31" s="7">
        <v>45264</v>
      </c>
      <c r="U31">
        <v>4</v>
      </c>
      <c r="V31" t="s">
        <v>100</v>
      </c>
      <c r="W31" t="s">
        <v>101</v>
      </c>
      <c r="X31" t="s">
        <v>59</v>
      </c>
      <c r="AB31">
        <v>40</v>
      </c>
      <c r="AC31" s="7">
        <v>45355</v>
      </c>
      <c r="AD31">
        <v>1</v>
      </c>
      <c r="AE31" t="s">
        <v>114</v>
      </c>
      <c r="AF31" t="s">
        <v>115</v>
      </c>
      <c r="AG31" t="s">
        <v>152</v>
      </c>
      <c r="BC31">
        <v>17</v>
      </c>
      <c r="BD31" s="7">
        <v>45264</v>
      </c>
      <c r="BE31">
        <v>4</v>
      </c>
      <c r="BF31" t="s">
        <v>104</v>
      </c>
      <c r="BG31" t="s">
        <v>105</v>
      </c>
      <c r="BH31" t="s">
        <v>175</v>
      </c>
    </row>
    <row r="32" spans="8:60" x14ac:dyDescent="0.3">
      <c r="S32">
        <v>78</v>
      </c>
      <c r="T32" s="7">
        <v>45264</v>
      </c>
      <c r="U32">
        <v>5</v>
      </c>
      <c r="V32" t="s">
        <v>102</v>
      </c>
      <c r="W32" t="s">
        <v>103</v>
      </c>
      <c r="X32" t="s">
        <v>59</v>
      </c>
      <c r="AB32">
        <v>32</v>
      </c>
      <c r="AC32" s="7">
        <v>45355</v>
      </c>
      <c r="AD32">
        <v>2</v>
      </c>
      <c r="AE32" t="s">
        <v>41</v>
      </c>
      <c r="AF32" t="s">
        <v>42</v>
      </c>
      <c r="AG32" t="s">
        <v>152</v>
      </c>
      <c r="BC32">
        <v>36</v>
      </c>
      <c r="BD32" s="7">
        <v>45264</v>
      </c>
      <c r="BE32">
        <v>1</v>
      </c>
      <c r="BF32" t="s">
        <v>190</v>
      </c>
      <c r="BG32" t="s">
        <v>191</v>
      </c>
      <c r="BH32" t="s">
        <v>175</v>
      </c>
    </row>
    <row r="33" spans="19:60" x14ac:dyDescent="0.3">
      <c r="S33">
        <v>17</v>
      </c>
      <c r="T33" s="7">
        <v>45264</v>
      </c>
      <c r="U33">
        <v>4</v>
      </c>
      <c r="V33" t="s">
        <v>104</v>
      </c>
      <c r="W33" t="s">
        <v>105</v>
      </c>
      <c r="X33" t="s">
        <v>59</v>
      </c>
      <c r="AB33">
        <v>44</v>
      </c>
      <c r="AC33" s="7">
        <v>45416</v>
      </c>
      <c r="AD33">
        <v>5</v>
      </c>
      <c r="AE33" t="s">
        <v>47</v>
      </c>
      <c r="AF33" t="s">
        <v>48</v>
      </c>
      <c r="AG33" t="s">
        <v>152</v>
      </c>
      <c r="BC33">
        <v>52</v>
      </c>
      <c r="BD33" s="7">
        <v>45264</v>
      </c>
      <c r="BE33">
        <v>1</v>
      </c>
      <c r="BF33" t="s">
        <v>82</v>
      </c>
      <c r="BG33" t="s">
        <v>83</v>
      </c>
      <c r="BH33" t="s">
        <v>175</v>
      </c>
    </row>
    <row r="34" spans="19:60" x14ac:dyDescent="0.3">
      <c r="S34">
        <v>14</v>
      </c>
      <c r="T34" s="7">
        <v>45264</v>
      </c>
      <c r="U34">
        <v>3</v>
      </c>
      <c r="V34" t="s">
        <v>12</v>
      </c>
      <c r="W34" t="s">
        <v>13</v>
      </c>
      <c r="X34" t="s">
        <v>59</v>
      </c>
      <c r="AB34">
        <v>19</v>
      </c>
      <c r="AC34" s="7">
        <v>45416</v>
      </c>
      <c r="AD34">
        <v>1</v>
      </c>
      <c r="AE34" t="s">
        <v>116</v>
      </c>
      <c r="AF34" t="s">
        <v>117</v>
      </c>
      <c r="AG34" t="s">
        <v>152</v>
      </c>
      <c r="BC34">
        <v>61</v>
      </c>
      <c r="BD34" s="7">
        <v>45326</v>
      </c>
      <c r="BE34">
        <v>1</v>
      </c>
      <c r="BF34" t="s">
        <v>192</v>
      </c>
      <c r="BG34" t="s">
        <v>193</v>
      </c>
      <c r="BH34" t="s">
        <v>175</v>
      </c>
    </row>
    <row r="35" spans="19:60" x14ac:dyDescent="0.3">
      <c r="S35">
        <v>85</v>
      </c>
      <c r="T35" s="7">
        <v>45264</v>
      </c>
      <c r="U35">
        <v>5</v>
      </c>
      <c r="V35" t="s">
        <v>106</v>
      </c>
      <c r="W35" t="s">
        <v>107</v>
      </c>
      <c r="X35" t="s">
        <v>59</v>
      </c>
      <c r="AB35">
        <v>12</v>
      </c>
      <c r="AC35" s="7">
        <v>45447</v>
      </c>
      <c r="AD35">
        <v>2</v>
      </c>
      <c r="AE35" t="s">
        <v>122</v>
      </c>
      <c r="AF35" t="s">
        <v>123</v>
      </c>
      <c r="AG35" t="s">
        <v>152</v>
      </c>
      <c r="BC35">
        <v>35</v>
      </c>
      <c r="BD35" s="7">
        <v>45326</v>
      </c>
      <c r="BE35">
        <v>2</v>
      </c>
      <c r="BF35" t="s">
        <v>194</v>
      </c>
      <c r="BG35" t="s">
        <v>195</v>
      </c>
      <c r="BH35" t="s">
        <v>175</v>
      </c>
    </row>
    <row r="36" spans="19:60" x14ac:dyDescent="0.3">
      <c r="S36">
        <v>88</v>
      </c>
      <c r="T36" s="7">
        <v>45264</v>
      </c>
      <c r="U36">
        <v>1</v>
      </c>
      <c r="V36" t="s">
        <v>108</v>
      </c>
      <c r="W36" t="s">
        <v>109</v>
      </c>
      <c r="X36" t="s">
        <v>59</v>
      </c>
      <c r="AB36">
        <v>47</v>
      </c>
      <c r="AC36" s="7">
        <v>45477</v>
      </c>
      <c r="AD36">
        <v>1</v>
      </c>
      <c r="AE36" t="s">
        <v>167</v>
      </c>
      <c r="AF36" t="s">
        <v>168</v>
      </c>
      <c r="AG36" t="s">
        <v>152</v>
      </c>
      <c r="BC36">
        <v>55</v>
      </c>
      <c r="BD36" s="7">
        <v>45416</v>
      </c>
      <c r="BE36">
        <v>4</v>
      </c>
      <c r="BF36" t="s">
        <v>196</v>
      </c>
      <c r="BG36" t="s">
        <v>195</v>
      </c>
      <c r="BH36" t="s">
        <v>175</v>
      </c>
    </row>
    <row r="37" spans="19:60" x14ac:dyDescent="0.3">
      <c r="S37">
        <v>48</v>
      </c>
      <c r="T37" s="7">
        <v>45264</v>
      </c>
      <c r="U37">
        <v>1</v>
      </c>
      <c r="V37" t="s">
        <v>110</v>
      </c>
      <c r="W37" t="s">
        <v>111</v>
      </c>
      <c r="X37" t="s">
        <v>59</v>
      </c>
      <c r="AB37">
        <v>15</v>
      </c>
      <c r="AC37" s="7">
        <v>45477</v>
      </c>
      <c r="AD37">
        <v>1</v>
      </c>
      <c r="AE37" t="s">
        <v>128</v>
      </c>
      <c r="AF37" t="s">
        <v>129</v>
      </c>
      <c r="AG37" t="s">
        <v>152</v>
      </c>
      <c r="BC37">
        <v>62</v>
      </c>
      <c r="BD37" s="7">
        <v>45416</v>
      </c>
      <c r="BE37">
        <v>1</v>
      </c>
      <c r="BF37" t="s">
        <v>118</v>
      </c>
      <c r="BG37" t="s">
        <v>119</v>
      </c>
      <c r="BH37" t="s">
        <v>175</v>
      </c>
    </row>
    <row r="38" spans="19:60" x14ac:dyDescent="0.3">
      <c r="S38">
        <v>51</v>
      </c>
      <c r="T38" s="7">
        <v>45326</v>
      </c>
      <c r="U38">
        <v>1</v>
      </c>
      <c r="V38" t="s">
        <v>112</v>
      </c>
      <c r="W38" t="s">
        <v>113</v>
      </c>
      <c r="X38" t="s">
        <v>59</v>
      </c>
      <c r="AB38">
        <v>25</v>
      </c>
      <c r="AC38" s="7">
        <v>45508</v>
      </c>
      <c r="AD38">
        <v>1</v>
      </c>
      <c r="AE38" t="s">
        <v>169</v>
      </c>
      <c r="AF38" t="s">
        <v>170</v>
      </c>
      <c r="AG38" t="s">
        <v>152</v>
      </c>
      <c r="BC38">
        <v>19</v>
      </c>
      <c r="BD38" s="7">
        <v>45416</v>
      </c>
      <c r="BE38">
        <v>1</v>
      </c>
      <c r="BF38" t="s">
        <v>116</v>
      </c>
      <c r="BG38" t="s">
        <v>117</v>
      </c>
      <c r="BH38" t="s">
        <v>175</v>
      </c>
    </row>
    <row r="39" spans="19:60" x14ac:dyDescent="0.3">
      <c r="S39">
        <v>40</v>
      </c>
      <c r="T39" s="7">
        <v>45355</v>
      </c>
      <c r="U39">
        <v>1</v>
      </c>
      <c r="V39" t="s">
        <v>114</v>
      </c>
      <c r="W39" t="s">
        <v>115</v>
      </c>
      <c r="X39" t="s">
        <v>59</v>
      </c>
      <c r="AB39">
        <v>45</v>
      </c>
      <c r="AC39" s="7">
        <v>45508</v>
      </c>
      <c r="AD39">
        <v>1</v>
      </c>
      <c r="AE39" t="s">
        <v>130</v>
      </c>
      <c r="AF39" t="s">
        <v>131</v>
      </c>
      <c r="AG39" t="s">
        <v>152</v>
      </c>
      <c r="BC39">
        <v>20</v>
      </c>
      <c r="BD39" s="7">
        <v>45416</v>
      </c>
      <c r="BE39">
        <v>4</v>
      </c>
      <c r="BF39" t="s">
        <v>45</v>
      </c>
      <c r="BG39" t="s">
        <v>46</v>
      </c>
      <c r="BH39" t="s">
        <v>175</v>
      </c>
    </row>
    <row r="40" spans="19:60" x14ac:dyDescent="0.3">
      <c r="S40">
        <v>24</v>
      </c>
      <c r="T40" s="7">
        <v>45386</v>
      </c>
      <c r="U40">
        <v>1</v>
      </c>
      <c r="V40" t="s">
        <v>43</v>
      </c>
      <c r="W40" t="s">
        <v>44</v>
      </c>
      <c r="X40" t="s">
        <v>59</v>
      </c>
      <c r="AB40">
        <v>16</v>
      </c>
      <c r="AC40" s="7">
        <v>45569</v>
      </c>
      <c r="AD40">
        <v>2</v>
      </c>
      <c r="AE40" t="s">
        <v>142</v>
      </c>
      <c r="AF40" t="s">
        <v>143</v>
      </c>
      <c r="AG40" t="s">
        <v>152</v>
      </c>
      <c r="BC40">
        <v>13</v>
      </c>
      <c r="BD40" s="7">
        <v>45447</v>
      </c>
      <c r="BE40">
        <v>1</v>
      </c>
      <c r="BF40" t="s">
        <v>197</v>
      </c>
      <c r="BG40" t="s">
        <v>198</v>
      </c>
      <c r="BH40" t="s">
        <v>175</v>
      </c>
    </row>
    <row r="41" spans="19:60" x14ac:dyDescent="0.3">
      <c r="S41">
        <v>44</v>
      </c>
      <c r="T41" s="7">
        <v>45416</v>
      </c>
      <c r="U41">
        <v>5</v>
      </c>
      <c r="V41" t="s">
        <v>47</v>
      </c>
      <c r="W41" t="s">
        <v>48</v>
      </c>
      <c r="X41" t="s">
        <v>59</v>
      </c>
      <c r="AB41">
        <v>4</v>
      </c>
      <c r="AC41" s="7">
        <v>45600</v>
      </c>
      <c r="AD41">
        <v>5</v>
      </c>
      <c r="AE41" t="s">
        <v>146</v>
      </c>
      <c r="AF41" t="s">
        <v>147</v>
      </c>
      <c r="AG41" t="s">
        <v>152</v>
      </c>
      <c r="BC41">
        <v>38</v>
      </c>
      <c r="BD41" s="7">
        <v>45508</v>
      </c>
      <c r="BE41">
        <v>5</v>
      </c>
      <c r="BF41" t="s">
        <v>199</v>
      </c>
      <c r="BG41" t="s">
        <v>187</v>
      </c>
      <c r="BH41" t="s">
        <v>175</v>
      </c>
    </row>
    <row r="42" spans="19:60" x14ac:dyDescent="0.3">
      <c r="S42">
        <v>19</v>
      </c>
      <c r="T42" s="7">
        <v>45416</v>
      </c>
      <c r="U42">
        <v>1</v>
      </c>
      <c r="V42" t="s">
        <v>116</v>
      </c>
      <c r="W42" t="s">
        <v>117</v>
      </c>
      <c r="X42" t="s">
        <v>59</v>
      </c>
      <c r="AB42">
        <v>3</v>
      </c>
      <c r="AC42" s="7">
        <v>45625</v>
      </c>
      <c r="AD42">
        <v>1</v>
      </c>
      <c r="AE42" t="s">
        <v>171</v>
      </c>
      <c r="AF42" t="s">
        <v>172</v>
      </c>
      <c r="AG42" t="s">
        <v>152</v>
      </c>
      <c r="BC42">
        <v>9</v>
      </c>
      <c r="BD42" s="7">
        <v>45539</v>
      </c>
      <c r="BE42">
        <v>1</v>
      </c>
      <c r="BF42" t="s">
        <v>18</v>
      </c>
      <c r="BG42" t="s">
        <v>19</v>
      </c>
      <c r="BH42" t="s">
        <v>175</v>
      </c>
    </row>
    <row r="43" spans="19:60" x14ac:dyDescent="0.3">
      <c r="S43">
        <v>62</v>
      </c>
      <c r="T43" s="7">
        <v>45416</v>
      </c>
      <c r="U43">
        <v>1</v>
      </c>
      <c r="V43" t="s">
        <v>118</v>
      </c>
      <c r="W43" t="s">
        <v>119</v>
      </c>
      <c r="X43" t="s">
        <v>59</v>
      </c>
      <c r="BC43">
        <v>7</v>
      </c>
      <c r="BD43" s="7">
        <v>45539</v>
      </c>
      <c r="BE43">
        <v>1</v>
      </c>
      <c r="BF43" t="s">
        <v>138</v>
      </c>
      <c r="BG43" t="s">
        <v>139</v>
      </c>
      <c r="BH43" t="s">
        <v>175</v>
      </c>
    </row>
    <row r="44" spans="19:60" x14ac:dyDescent="0.3">
      <c r="S44">
        <v>99</v>
      </c>
      <c r="T44" s="7">
        <v>45447</v>
      </c>
      <c r="U44">
        <v>5</v>
      </c>
      <c r="V44" t="s">
        <v>120</v>
      </c>
      <c r="W44" t="s">
        <v>121</v>
      </c>
      <c r="X44" t="s">
        <v>59</v>
      </c>
      <c r="BC44">
        <v>10</v>
      </c>
      <c r="BD44" s="7">
        <v>45539</v>
      </c>
      <c r="BE44">
        <v>4</v>
      </c>
      <c r="BF44" t="s">
        <v>136</v>
      </c>
      <c r="BG44" t="s">
        <v>137</v>
      </c>
      <c r="BH44" t="s">
        <v>175</v>
      </c>
    </row>
    <row r="45" spans="19:60" x14ac:dyDescent="0.3">
      <c r="S45">
        <v>12</v>
      </c>
      <c r="T45" s="7">
        <v>45447</v>
      </c>
      <c r="U45">
        <v>2</v>
      </c>
      <c r="V45" t="s">
        <v>122</v>
      </c>
      <c r="W45" t="s">
        <v>123</v>
      </c>
      <c r="X45" t="s">
        <v>59</v>
      </c>
      <c r="BC45">
        <v>29</v>
      </c>
      <c r="BD45" s="7">
        <v>45539</v>
      </c>
      <c r="BE45">
        <v>1</v>
      </c>
      <c r="BF45" t="s">
        <v>200</v>
      </c>
      <c r="BG45" t="s">
        <v>201</v>
      </c>
      <c r="BH45" t="s">
        <v>175</v>
      </c>
    </row>
    <row r="46" spans="19:60" x14ac:dyDescent="0.3">
      <c r="S46">
        <v>26</v>
      </c>
      <c r="T46" s="7">
        <v>45447</v>
      </c>
      <c r="U46">
        <v>1</v>
      </c>
      <c r="V46" t="s">
        <v>124</v>
      </c>
      <c r="W46" t="s">
        <v>125</v>
      </c>
      <c r="X46" t="s">
        <v>59</v>
      </c>
      <c r="BC46">
        <v>39</v>
      </c>
      <c r="BD46" s="7">
        <v>45539</v>
      </c>
      <c r="BE46">
        <v>5</v>
      </c>
      <c r="BF46" t="s">
        <v>132</v>
      </c>
      <c r="BG46" t="s">
        <v>133</v>
      </c>
      <c r="BH46" t="s">
        <v>175</v>
      </c>
    </row>
    <row r="47" spans="19:60" x14ac:dyDescent="0.3">
      <c r="S47">
        <v>56</v>
      </c>
      <c r="T47" s="7">
        <v>45477</v>
      </c>
      <c r="U47">
        <v>3</v>
      </c>
      <c r="V47" t="s">
        <v>126</v>
      </c>
      <c r="W47" t="s">
        <v>127</v>
      </c>
      <c r="X47" t="s">
        <v>59</v>
      </c>
      <c r="BC47">
        <v>27</v>
      </c>
      <c r="BD47" s="7">
        <v>45600</v>
      </c>
      <c r="BE47">
        <v>4</v>
      </c>
      <c r="BF47" t="s">
        <v>202</v>
      </c>
      <c r="BG47" t="s">
        <v>187</v>
      </c>
      <c r="BH47" t="s">
        <v>175</v>
      </c>
    </row>
    <row r="48" spans="19:60" x14ac:dyDescent="0.3">
      <c r="S48">
        <v>15</v>
      </c>
      <c r="T48" s="7">
        <v>45477</v>
      </c>
      <c r="U48">
        <v>1</v>
      </c>
      <c r="V48" t="s">
        <v>128</v>
      </c>
      <c r="W48" t="s">
        <v>129</v>
      </c>
      <c r="X48" t="s">
        <v>59</v>
      </c>
      <c r="BC48">
        <v>4</v>
      </c>
      <c r="BD48" s="7">
        <v>45600</v>
      </c>
      <c r="BE48">
        <v>5</v>
      </c>
      <c r="BF48" t="s">
        <v>146</v>
      </c>
      <c r="BG48" t="s">
        <v>147</v>
      </c>
      <c r="BH48" t="s">
        <v>175</v>
      </c>
    </row>
    <row r="49" spans="19:60" x14ac:dyDescent="0.3">
      <c r="S49">
        <v>45</v>
      </c>
      <c r="T49" s="7">
        <v>45508</v>
      </c>
      <c r="U49">
        <v>1</v>
      </c>
      <c r="V49" t="s">
        <v>130</v>
      </c>
      <c r="W49" t="s">
        <v>131</v>
      </c>
      <c r="X49" t="s">
        <v>59</v>
      </c>
      <c r="BC49">
        <v>23</v>
      </c>
      <c r="BD49" s="7">
        <v>45600</v>
      </c>
      <c r="BE49">
        <v>2</v>
      </c>
      <c r="BF49" t="s">
        <v>148</v>
      </c>
      <c r="BG49" t="s">
        <v>149</v>
      </c>
      <c r="BH49" t="s">
        <v>175</v>
      </c>
    </row>
    <row r="50" spans="19:60" x14ac:dyDescent="0.3">
      <c r="S50">
        <v>39</v>
      </c>
      <c r="T50" s="7">
        <v>45539</v>
      </c>
      <c r="U50">
        <v>5</v>
      </c>
      <c r="V50" t="s">
        <v>132</v>
      </c>
      <c r="W50" t="s">
        <v>133</v>
      </c>
      <c r="X50" t="s">
        <v>59</v>
      </c>
      <c r="BC50">
        <v>2</v>
      </c>
      <c r="BD50" s="7">
        <v>45625</v>
      </c>
      <c r="BE50">
        <v>4</v>
      </c>
      <c r="BF50" t="s">
        <v>55</v>
      </c>
      <c r="BG50" t="s">
        <v>56</v>
      </c>
      <c r="BH50" t="s">
        <v>175</v>
      </c>
    </row>
    <row r="51" spans="19:60" x14ac:dyDescent="0.3">
      <c r="S51">
        <v>11</v>
      </c>
      <c r="T51" s="7">
        <v>45539</v>
      </c>
      <c r="U51">
        <v>1</v>
      </c>
      <c r="V51" t="s">
        <v>134</v>
      </c>
      <c r="W51" t="s">
        <v>135</v>
      </c>
      <c r="X51" t="s">
        <v>59</v>
      </c>
    </row>
    <row r="52" spans="19:60" x14ac:dyDescent="0.3">
      <c r="S52">
        <v>10</v>
      </c>
      <c r="T52" s="7">
        <v>45539</v>
      </c>
      <c r="U52">
        <v>4</v>
      </c>
      <c r="V52" t="s">
        <v>136</v>
      </c>
      <c r="W52" t="s">
        <v>137</v>
      </c>
      <c r="X52" t="s">
        <v>59</v>
      </c>
    </row>
    <row r="53" spans="19:60" x14ac:dyDescent="0.3">
      <c r="S53">
        <v>9</v>
      </c>
      <c r="T53" s="7">
        <v>45539</v>
      </c>
      <c r="U53">
        <v>1</v>
      </c>
      <c r="V53" t="s">
        <v>18</v>
      </c>
      <c r="W53" t="s">
        <v>19</v>
      </c>
      <c r="X53" t="s">
        <v>59</v>
      </c>
    </row>
    <row r="54" spans="19:60" x14ac:dyDescent="0.3">
      <c r="S54">
        <v>7</v>
      </c>
      <c r="T54" s="7">
        <v>45539</v>
      </c>
      <c r="U54">
        <v>1</v>
      </c>
      <c r="V54" t="s">
        <v>138</v>
      </c>
      <c r="W54" t="s">
        <v>139</v>
      </c>
      <c r="X54" t="s">
        <v>59</v>
      </c>
    </row>
    <row r="55" spans="19:60" x14ac:dyDescent="0.3">
      <c r="S55">
        <v>1</v>
      </c>
      <c r="T55" s="7">
        <v>45539</v>
      </c>
      <c r="U55">
        <v>1</v>
      </c>
      <c r="V55" t="s">
        <v>51</v>
      </c>
      <c r="W55" t="s">
        <v>52</v>
      </c>
      <c r="X55" t="s">
        <v>59</v>
      </c>
    </row>
    <row r="56" spans="19:60" x14ac:dyDescent="0.3">
      <c r="S56">
        <v>18</v>
      </c>
      <c r="T56" s="7">
        <v>45569</v>
      </c>
      <c r="U56">
        <v>1</v>
      </c>
      <c r="V56" t="s">
        <v>140</v>
      </c>
      <c r="W56" t="s">
        <v>141</v>
      </c>
      <c r="X56" t="s">
        <v>59</v>
      </c>
    </row>
    <row r="57" spans="19:60" x14ac:dyDescent="0.3">
      <c r="S57">
        <v>16</v>
      </c>
      <c r="T57" s="7">
        <v>45569</v>
      </c>
      <c r="U57">
        <v>2</v>
      </c>
      <c r="V57" t="s">
        <v>142</v>
      </c>
      <c r="W57" t="s">
        <v>143</v>
      </c>
      <c r="X57" t="s">
        <v>59</v>
      </c>
    </row>
    <row r="58" spans="19:60" x14ac:dyDescent="0.3">
      <c r="S58">
        <v>5</v>
      </c>
      <c r="T58" s="7">
        <v>45569</v>
      </c>
      <c r="U58">
        <v>1</v>
      </c>
      <c r="V58" t="s">
        <v>144</v>
      </c>
      <c r="W58" t="s">
        <v>145</v>
      </c>
      <c r="X58" t="s">
        <v>59</v>
      </c>
    </row>
    <row r="59" spans="19:60" x14ac:dyDescent="0.3">
      <c r="S59">
        <v>28</v>
      </c>
      <c r="T59" s="7">
        <v>45600</v>
      </c>
      <c r="U59">
        <v>2</v>
      </c>
      <c r="V59" t="s">
        <v>53</v>
      </c>
      <c r="W59" t="s">
        <v>54</v>
      </c>
      <c r="X59" t="s">
        <v>59</v>
      </c>
    </row>
    <row r="60" spans="19:60" x14ac:dyDescent="0.3">
      <c r="S60">
        <v>4</v>
      </c>
      <c r="T60" s="7">
        <v>45600</v>
      </c>
      <c r="U60">
        <v>5</v>
      </c>
      <c r="V60" t="s">
        <v>146</v>
      </c>
      <c r="W60" t="s">
        <v>147</v>
      </c>
      <c r="X60" t="s">
        <v>59</v>
      </c>
    </row>
    <row r="61" spans="19:60" x14ac:dyDescent="0.3">
      <c r="S61">
        <v>23</v>
      </c>
      <c r="T61" s="7">
        <v>45600</v>
      </c>
      <c r="U61">
        <v>2</v>
      </c>
      <c r="V61" t="s">
        <v>148</v>
      </c>
      <c r="W61" t="s">
        <v>149</v>
      </c>
      <c r="X61" t="s">
        <v>59</v>
      </c>
    </row>
    <row r="62" spans="19:60" x14ac:dyDescent="0.3">
      <c r="S62">
        <v>2</v>
      </c>
      <c r="T62" s="7">
        <v>45625</v>
      </c>
      <c r="U62">
        <v>4</v>
      </c>
      <c r="V62" t="s">
        <v>55</v>
      </c>
      <c r="W62" t="s">
        <v>56</v>
      </c>
      <c r="X62" t="s">
        <v>59</v>
      </c>
    </row>
  </sheetData>
  <pageMargins left="0.7" right="0.7" top="0.75" bottom="0.75" header="0.3" footer="0.3"/>
  <tableParts count="7">
    <tablePart r:id="rId1"/>
    <tablePart r:id="rId2"/>
    <tablePart r:id="rId3"/>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748-7FF9-46C7-911D-76BE32A0955D}">
  <dimension ref="A1:J67"/>
  <sheetViews>
    <sheetView zoomScale="78" workbookViewId="0">
      <selection activeCell="D10" sqref="D10"/>
    </sheetView>
  </sheetViews>
  <sheetFormatPr defaultRowHeight="14.4" x14ac:dyDescent="0.3"/>
  <cols>
    <col min="1" max="1" width="23" customWidth="1"/>
    <col min="2" max="2" width="14.44140625" customWidth="1"/>
    <col min="3" max="4" width="12.21875" customWidth="1"/>
    <col min="13" max="13" width="10.5546875" bestFit="1" customWidth="1"/>
  </cols>
  <sheetData>
    <row r="1" spans="1:10" x14ac:dyDescent="0.3">
      <c r="A1" s="6" t="s">
        <v>6</v>
      </c>
      <c r="B1" s="6" t="s">
        <v>2</v>
      </c>
      <c r="C1" s="6" t="s">
        <v>369</v>
      </c>
      <c r="D1" s="6" t="s">
        <v>370</v>
      </c>
      <c r="E1" s="14" t="s">
        <v>371</v>
      </c>
      <c r="F1" s="14" t="s">
        <v>372</v>
      </c>
      <c r="G1" s="6" t="s">
        <v>216</v>
      </c>
      <c r="H1" s="6" t="s">
        <v>217</v>
      </c>
      <c r="I1" s="24" t="s">
        <v>218</v>
      </c>
      <c r="J1" s="6" t="s">
        <v>219</v>
      </c>
    </row>
    <row r="2" spans="1:10" x14ac:dyDescent="0.3">
      <c r="A2" t="s">
        <v>152</v>
      </c>
      <c r="B2" s="15">
        <v>43805</v>
      </c>
      <c r="C2" s="15">
        <v>43466</v>
      </c>
      <c r="D2" s="15">
        <v>43800</v>
      </c>
      <c r="E2">
        <v>5</v>
      </c>
      <c r="F2">
        <v>3</v>
      </c>
      <c r="G2">
        <v>3</v>
      </c>
      <c r="H2">
        <v>0</v>
      </c>
      <c r="I2" s="20">
        <v>0</v>
      </c>
      <c r="J2">
        <v>3</v>
      </c>
    </row>
    <row r="3" spans="1:10" x14ac:dyDescent="0.3">
      <c r="A3" t="s">
        <v>22</v>
      </c>
      <c r="B3" s="15">
        <v>43805</v>
      </c>
      <c r="C3" s="15">
        <v>43466</v>
      </c>
      <c r="D3" s="15">
        <v>43800</v>
      </c>
      <c r="E3">
        <v>4</v>
      </c>
      <c r="F3">
        <v>2</v>
      </c>
      <c r="G3">
        <v>1</v>
      </c>
      <c r="H3">
        <v>0</v>
      </c>
      <c r="I3" s="21">
        <v>1</v>
      </c>
      <c r="J3">
        <v>2</v>
      </c>
    </row>
    <row r="4" spans="1:10" x14ac:dyDescent="0.3">
      <c r="A4" t="s">
        <v>59</v>
      </c>
      <c r="B4" s="15">
        <v>43805</v>
      </c>
      <c r="C4" s="15">
        <v>43466</v>
      </c>
      <c r="D4" s="15">
        <v>43800</v>
      </c>
      <c r="E4">
        <v>3</v>
      </c>
      <c r="F4">
        <v>1</v>
      </c>
      <c r="G4">
        <v>0</v>
      </c>
      <c r="H4">
        <v>0</v>
      </c>
      <c r="I4" s="20">
        <v>1</v>
      </c>
      <c r="J4">
        <v>1</v>
      </c>
    </row>
    <row r="5" spans="1:10" x14ac:dyDescent="0.3">
      <c r="A5" t="s">
        <v>175</v>
      </c>
      <c r="B5" s="15">
        <v>43805</v>
      </c>
      <c r="C5" s="15">
        <v>43466</v>
      </c>
      <c r="D5" s="15">
        <v>43800</v>
      </c>
      <c r="E5">
        <v>1</v>
      </c>
      <c r="F5">
        <v>1</v>
      </c>
      <c r="G5">
        <v>1</v>
      </c>
      <c r="H5">
        <v>0</v>
      </c>
      <c r="I5" s="21">
        <v>0</v>
      </c>
      <c r="J5">
        <v>1</v>
      </c>
    </row>
    <row r="6" spans="1:10" x14ac:dyDescent="0.3">
      <c r="A6" t="s">
        <v>59</v>
      </c>
      <c r="B6" s="15">
        <v>44171</v>
      </c>
      <c r="C6" s="15">
        <v>43831</v>
      </c>
      <c r="D6" s="15">
        <v>44166</v>
      </c>
      <c r="E6">
        <v>3</v>
      </c>
      <c r="F6">
        <v>1</v>
      </c>
      <c r="G6">
        <v>1</v>
      </c>
      <c r="H6">
        <v>0</v>
      </c>
      <c r="I6" s="20">
        <v>0</v>
      </c>
      <c r="J6">
        <v>1</v>
      </c>
    </row>
    <row r="7" spans="1:10" x14ac:dyDescent="0.3">
      <c r="A7" t="s">
        <v>152</v>
      </c>
      <c r="B7" s="15">
        <v>44171</v>
      </c>
      <c r="C7" s="15">
        <v>43831</v>
      </c>
      <c r="D7" s="15">
        <v>44166</v>
      </c>
      <c r="E7">
        <v>2</v>
      </c>
      <c r="F7">
        <v>2</v>
      </c>
      <c r="G7">
        <v>2</v>
      </c>
      <c r="H7">
        <v>0</v>
      </c>
      <c r="I7" s="21">
        <v>0</v>
      </c>
      <c r="J7">
        <v>2</v>
      </c>
    </row>
    <row r="8" spans="1:10" x14ac:dyDescent="0.3">
      <c r="A8" t="s">
        <v>22</v>
      </c>
      <c r="B8" s="15">
        <v>44171</v>
      </c>
      <c r="C8" s="15">
        <v>43831</v>
      </c>
      <c r="D8" s="15">
        <v>44166</v>
      </c>
      <c r="E8">
        <v>1</v>
      </c>
      <c r="F8">
        <v>1</v>
      </c>
      <c r="G8">
        <v>1</v>
      </c>
      <c r="H8">
        <v>0</v>
      </c>
      <c r="I8" s="20">
        <v>0</v>
      </c>
      <c r="J8">
        <v>1</v>
      </c>
    </row>
    <row r="9" spans="1:10" x14ac:dyDescent="0.3">
      <c r="A9" t="s">
        <v>175</v>
      </c>
      <c r="B9" s="15">
        <v>44171</v>
      </c>
      <c r="C9" s="15">
        <v>43831</v>
      </c>
      <c r="D9" s="15">
        <v>44166</v>
      </c>
      <c r="E9">
        <v>4</v>
      </c>
      <c r="F9">
        <v>4</v>
      </c>
      <c r="G9">
        <v>2</v>
      </c>
      <c r="H9">
        <v>0</v>
      </c>
      <c r="I9" s="21">
        <v>2</v>
      </c>
      <c r="J9">
        <v>4</v>
      </c>
    </row>
    <row r="10" spans="1:10" x14ac:dyDescent="0.3">
      <c r="A10" t="s">
        <v>59</v>
      </c>
      <c r="B10" s="15">
        <v>44536</v>
      </c>
      <c r="C10" s="15">
        <v>44197</v>
      </c>
      <c r="D10" s="15">
        <v>44531</v>
      </c>
      <c r="E10">
        <v>12</v>
      </c>
      <c r="F10">
        <v>8</v>
      </c>
      <c r="G10">
        <v>2</v>
      </c>
      <c r="H10">
        <v>0</v>
      </c>
      <c r="I10" s="20">
        <v>6</v>
      </c>
      <c r="J10">
        <v>8</v>
      </c>
    </row>
    <row r="11" spans="1:10" x14ac:dyDescent="0.3">
      <c r="A11" t="s">
        <v>152</v>
      </c>
      <c r="B11" s="15">
        <v>44536</v>
      </c>
      <c r="C11" s="15">
        <v>44197</v>
      </c>
      <c r="D11" s="15">
        <v>44531</v>
      </c>
      <c r="E11">
        <v>10</v>
      </c>
      <c r="F11">
        <v>7</v>
      </c>
      <c r="G11">
        <v>4</v>
      </c>
      <c r="H11">
        <v>0</v>
      </c>
      <c r="I11" s="21">
        <v>3</v>
      </c>
      <c r="J11">
        <v>7</v>
      </c>
    </row>
    <row r="12" spans="1:10" x14ac:dyDescent="0.3">
      <c r="A12" t="s">
        <v>175</v>
      </c>
      <c r="B12" s="15">
        <v>44536</v>
      </c>
      <c r="C12" s="15">
        <v>44197</v>
      </c>
      <c r="D12" s="15">
        <v>44531</v>
      </c>
      <c r="E12">
        <v>11</v>
      </c>
      <c r="F12">
        <v>5</v>
      </c>
      <c r="G12">
        <v>3</v>
      </c>
      <c r="H12">
        <v>0</v>
      </c>
      <c r="I12" s="20">
        <v>2</v>
      </c>
      <c r="J12">
        <v>5</v>
      </c>
    </row>
    <row r="13" spans="1:10" x14ac:dyDescent="0.3">
      <c r="A13" t="s">
        <v>9</v>
      </c>
      <c r="B13" s="15">
        <v>44536</v>
      </c>
      <c r="C13" s="15">
        <v>44197</v>
      </c>
      <c r="D13" s="15">
        <v>44531</v>
      </c>
      <c r="E13">
        <v>1</v>
      </c>
      <c r="F13">
        <v>1</v>
      </c>
      <c r="G13">
        <v>1</v>
      </c>
      <c r="H13">
        <v>0</v>
      </c>
      <c r="I13" s="21">
        <v>0</v>
      </c>
      <c r="J13">
        <v>1</v>
      </c>
    </row>
    <row r="14" spans="1:10" x14ac:dyDescent="0.3">
      <c r="A14" t="s">
        <v>22</v>
      </c>
      <c r="B14" s="15">
        <v>44536</v>
      </c>
      <c r="C14" s="15">
        <v>44197</v>
      </c>
      <c r="D14" s="15">
        <v>44531</v>
      </c>
      <c r="E14">
        <v>4</v>
      </c>
      <c r="F14">
        <v>2</v>
      </c>
      <c r="G14">
        <v>1</v>
      </c>
      <c r="H14">
        <v>1</v>
      </c>
      <c r="I14" s="20">
        <v>0</v>
      </c>
      <c r="J14">
        <v>2</v>
      </c>
    </row>
    <row r="15" spans="1:10" x14ac:dyDescent="0.3">
      <c r="A15" t="s">
        <v>152</v>
      </c>
      <c r="B15" s="15">
        <v>44901</v>
      </c>
      <c r="C15" s="15">
        <v>44562</v>
      </c>
      <c r="D15" s="15">
        <v>44896</v>
      </c>
      <c r="E15">
        <v>20</v>
      </c>
      <c r="F15">
        <v>9</v>
      </c>
      <c r="G15">
        <v>4</v>
      </c>
      <c r="H15">
        <v>2</v>
      </c>
      <c r="I15" s="21">
        <v>3</v>
      </c>
      <c r="J15">
        <v>9</v>
      </c>
    </row>
    <row r="16" spans="1:10" x14ac:dyDescent="0.3">
      <c r="A16" t="s">
        <v>9</v>
      </c>
      <c r="B16" s="15">
        <v>44901</v>
      </c>
      <c r="C16" s="15">
        <v>44562</v>
      </c>
      <c r="D16" s="15">
        <v>44896</v>
      </c>
      <c r="E16">
        <v>3</v>
      </c>
      <c r="F16">
        <v>1</v>
      </c>
      <c r="G16">
        <v>1</v>
      </c>
      <c r="H16">
        <v>0</v>
      </c>
      <c r="I16" s="20">
        <v>0</v>
      </c>
      <c r="J16">
        <v>1</v>
      </c>
    </row>
    <row r="17" spans="1:10" x14ac:dyDescent="0.3">
      <c r="A17" t="s">
        <v>173</v>
      </c>
      <c r="B17" s="15">
        <v>44901</v>
      </c>
      <c r="C17" s="15">
        <v>44562</v>
      </c>
      <c r="D17" s="15">
        <v>44896</v>
      </c>
      <c r="E17">
        <v>5</v>
      </c>
      <c r="F17">
        <v>3</v>
      </c>
      <c r="G17">
        <v>1</v>
      </c>
      <c r="H17">
        <v>2</v>
      </c>
      <c r="I17" s="21">
        <v>0</v>
      </c>
      <c r="J17">
        <v>3</v>
      </c>
    </row>
    <row r="18" spans="1:10" x14ac:dyDescent="0.3">
      <c r="A18" t="s">
        <v>175</v>
      </c>
      <c r="B18" s="15">
        <v>44901</v>
      </c>
      <c r="C18" s="15">
        <v>44562</v>
      </c>
      <c r="D18" s="15">
        <v>44896</v>
      </c>
      <c r="E18">
        <v>12</v>
      </c>
      <c r="F18">
        <v>6</v>
      </c>
      <c r="G18">
        <v>5</v>
      </c>
      <c r="H18">
        <v>0</v>
      </c>
      <c r="I18" s="20">
        <v>1</v>
      </c>
      <c r="J18">
        <v>6</v>
      </c>
    </row>
    <row r="19" spans="1:10" x14ac:dyDescent="0.3">
      <c r="A19" t="s">
        <v>22</v>
      </c>
      <c r="B19" s="15">
        <v>44901</v>
      </c>
      <c r="C19" s="15">
        <v>44562</v>
      </c>
      <c r="D19" s="15">
        <v>44896</v>
      </c>
      <c r="E19">
        <v>7</v>
      </c>
      <c r="F19">
        <v>3</v>
      </c>
      <c r="G19">
        <v>3</v>
      </c>
      <c r="H19">
        <v>0</v>
      </c>
      <c r="I19" s="21">
        <v>0</v>
      </c>
      <c r="J19">
        <v>3</v>
      </c>
    </row>
    <row r="20" spans="1:10" x14ac:dyDescent="0.3">
      <c r="A20" t="s">
        <v>59</v>
      </c>
      <c r="B20" s="15">
        <v>44901</v>
      </c>
      <c r="C20" s="15">
        <v>44562</v>
      </c>
      <c r="D20" s="15">
        <v>44896</v>
      </c>
      <c r="E20">
        <v>11</v>
      </c>
      <c r="F20">
        <v>8</v>
      </c>
      <c r="G20">
        <v>3</v>
      </c>
      <c r="H20">
        <v>1</v>
      </c>
      <c r="I20" s="20">
        <v>4</v>
      </c>
      <c r="J20">
        <v>8</v>
      </c>
    </row>
    <row r="21" spans="1:10" x14ac:dyDescent="0.3">
      <c r="A21" t="s">
        <v>9</v>
      </c>
      <c r="B21" s="15">
        <v>45266</v>
      </c>
      <c r="C21" s="15">
        <v>44927</v>
      </c>
      <c r="D21" s="15">
        <v>45261</v>
      </c>
      <c r="E21">
        <v>10</v>
      </c>
      <c r="F21">
        <v>4</v>
      </c>
      <c r="G21">
        <v>4</v>
      </c>
      <c r="H21">
        <v>0</v>
      </c>
      <c r="I21" s="21">
        <v>0</v>
      </c>
      <c r="J21">
        <v>4</v>
      </c>
    </row>
    <row r="22" spans="1:10" x14ac:dyDescent="0.3">
      <c r="A22" t="s">
        <v>59</v>
      </c>
      <c r="B22" s="15">
        <v>45266</v>
      </c>
      <c r="C22" s="15">
        <v>44927</v>
      </c>
      <c r="D22" s="15">
        <v>45261</v>
      </c>
      <c r="E22">
        <v>53</v>
      </c>
      <c r="F22">
        <v>24</v>
      </c>
      <c r="G22">
        <v>10</v>
      </c>
      <c r="H22">
        <v>7</v>
      </c>
      <c r="I22" s="20">
        <v>7</v>
      </c>
      <c r="J22">
        <v>24</v>
      </c>
    </row>
    <row r="23" spans="1:10" x14ac:dyDescent="0.3">
      <c r="A23" t="s">
        <v>152</v>
      </c>
      <c r="B23" s="15">
        <v>45266</v>
      </c>
      <c r="C23" s="15">
        <v>44927</v>
      </c>
      <c r="D23" s="15">
        <v>45261</v>
      </c>
      <c r="E23">
        <v>58</v>
      </c>
      <c r="F23">
        <v>26</v>
      </c>
      <c r="G23">
        <v>16</v>
      </c>
      <c r="H23">
        <v>5</v>
      </c>
      <c r="I23" s="21">
        <v>5</v>
      </c>
      <c r="J23">
        <v>26</v>
      </c>
    </row>
    <row r="24" spans="1:10" x14ac:dyDescent="0.3">
      <c r="A24" t="s">
        <v>173</v>
      </c>
      <c r="B24" s="15">
        <v>45266</v>
      </c>
      <c r="C24" s="15">
        <v>44927</v>
      </c>
      <c r="D24" s="15">
        <v>45261</v>
      </c>
      <c r="E24">
        <v>2</v>
      </c>
      <c r="F24">
        <v>1</v>
      </c>
      <c r="G24">
        <v>1</v>
      </c>
      <c r="H24">
        <v>0</v>
      </c>
      <c r="I24" s="20">
        <v>0</v>
      </c>
      <c r="J24">
        <v>1</v>
      </c>
    </row>
    <row r="25" spans="1:10" x14ac:dyDescent="0.3">
      <c r="A25" t="s">
        <v>174</v>
      </c>
      <c r="B25" s="15">
        <v>45266</v>
      </c>
      <c r="C25" s="15">
        <v>44927</v>
      </c>
      <c r="D25" s="15">
        <v>45261</v>
      </c>
      <c r="E25">
        <v>14</v>
      </c>
      <c r="F25">
        <v>4</v>
      </c>
      <c r="G25">
        <v>3</v>
      </c>
      <c r="H25">
        <v>0</v>
      </c>
      <c r="I25" s="21">
        <v>1</v>
      </c>
      <c r="J25">
        <v>4</v>
      </c>
    </row>
    <row r="26" spans="1:10" x14ac:dyDescent="0.3">
      <c r="A26" t="s">
        <v>22</v>
      </c>
      <c r="B26" s="15">
        <v>45266</v>
      </c>
      <c r="C26" s="15">
        <v>44927</v>
      </c>
      <c r="D26" s="15">
        <v>45261</v>
      </c>
      <c r="E26">
        <v>3</v>
      </c>
      <c r="F26">
        <v>2</v>
      </c>
      <c r="G26">
        <v>1</v>
      </c>
      <c r="H26">
        <v>1</v>
      </c>
      <c r="I26" s="20">
        <v>0</v>
      </c>
      <c r="J26">
        <v>2</v>
      </c>
    </row>
    <row r="27" spans="1:10" x14ac:dyDescent="0.3">
      <c r="A27" t="s">
        <v>175</v>
      </c>
      <c r="B27" s="15">
        <v>45266</v>
      </c>
      <c r="C27" s="15">
        <v>44927</v>
      </c>
      <c r="D27" s="15">
        <v>45261</v>
      </c>
      <c r="E27">
        <v>61</v>
      </c>
      <c r="F27">
        <v>25</v>
      </c>
      <c r="G27">
        <v>19</v>
      </c>
      <c r="H27">
        <v>0</v>
      </c>
      <c r="I27" s="21">
        <v>6</v>
      </c>
      <c r="J27">
        <v>25</v>
      </c>
    </row>
    <row r="28" spans="1:10" x14ac:dyDescent="0.3">
      <c r="A28" t="s">
        <v>152</v>
      </c>
      <c r="B28" s="15">
        <v>45297</v>
      </c>
      <c r="C28" s="15">
        <v>45292</v>
      </c>
      <c r="D28" s="15">
        <v>45292</v>
      </c>
      <c r="E28">
        <v>2</v>
      </c>
      <c r="F28">
        <v>2</v>
      </c>
      <c r="G28">
        <v>2</v>
      </c>
      <c r="H28">
        <v>0</v>
      </c>
      <c r="I28" s="20">
        <v>0</v>
      </c>
      <c r="J28">
        <v>2</v>
      </c>
    </row>
    <row r="29" spans="1:10" x14ac:dyDescent="0.3">
      <c r="A29" t="s">
        <v>152</v>
      </c>
      <c r="B29" s="15">
        <v>45328</v>
      </c>
      <c r="C29" s="15">
        <v>45292</v>
      </c>
      <c r="D29" s="15">
        <v>45323</v>
      </c>
      <c r="E29">
        <v>2</v>
      </c>
      <c r="F29">
        <v>2</v>
      </c>
      <c r="G29">
        <v>2</v>
      </c>
      <c r="H29">
        <v>0</v>
      </c>
      <c r="I29" s="21">
        <v>0</v>
      </c>
      <c r="J29">
        <v>2</v>
      </c>
    </row>
    <row r="30" spans="1:10" x14ac:dyDescent="0.3">
      <c r="A30" t="s">
        <v>175</v>
      </c>
      <c r="B30" s="15">
        <v>45328</v>
      </c>
      <c r="C30" s="15">
        <v>45292</v>
      </c>
      <c r="D30" s="15">
        <v>45323</v>
      </c>
      <c r="E30">
        <v>3</v>
      </c>
      <c r="F30">
        <v>2</v>
      </c>
      <c r="G30">
        <v>1</v>
      </c>
      <c r="H30">
        <v>0</v>
      </c>
      <c r="I30" s="20">
        <v>1</v>
      </c>
      <c r="J30">
        <v>2</v>
      </c>
    </row>
    <row r="31" spans="1:10" x14ac:dyDescent="0.3">
      <c r="A31" t="s">
        <v>59</v>
      </c>
      <c r="B31" s="15">
        <v>45328</v>
      </c>
      <c r="C31" s="15">
        <v>45292</v>
      </c>
      <c r="D31" s="15">
        <v>45323</v>
      </c>
      <c r="E31">
        <v>3</v>
      </c>
      <c r="F31">
        <v>3</v>
      </c>
      <c r="G31">
        <v>2</v>
      </c>
      <c r="H31">
        <v>1</v>
      </c>
      <c r="I31" s="21">
        <v>0</v>
      </c>
      <c r="J31">
        <v>3</v>
      </c>
    </row>
    <row r="32" spans="1:10" x14ac:dyDescent="0.3">
      <c r="A32" t="s">
        <v>59</v>
      </c>
      <c r="B32" s="15">
        <v>45357</v>
      </c>
      <c r="C32" s="15">
        <v>45292</v>
      </c>
      <c r="D32" s="15">
        <v>45352</v>
      </c>
      <c r="E32">
        <v>3</v>
      </c>
      <c r="F32">
        <v>3</v>
      </c>
      <c r="G32">
        <v>3</v>
      </c>
      <c r="H32">
        <v>0</v>
      </c>
      <c r="I32" s="20">
        <v>0</v>
      </c>
      <c r="J32">
        <v>3</v>
      </c>
    </row>
    <row r="33" spans="1:10" x14ac:dyDescent="0.3">
      <c r="A33" t="s">
        <v>22</v>
      </c>
      <c r="B33" s="15">
        <v>45357</v>
      </c>
      <c r="C33" s="15">
        <v>45292</v>
      </c>
      <c r="D33" s="15">
        <v>45352</v>
      </c>
      <c r="E33">
        <v>6</v>
      </c>
      <c r="F33">
        <v>3</v>
      </c>
      <c r="G33">
        <v>2</v>
      </c>
      <c r="H33">
        <v>1</v>
      </c>
      <c r="I33" s="21">
        <v>0</v>
      </c>
      <c r="J33">
        <v>3</v>
      </c>
    </row>
    <row r="34" spans="1:10" x14ac:dyDescent="0.3">
      <c r="A34" t="s">
        <v>152</v>
      </c>
      <c r="B34" s="15">
        <v>45357</v>
      </c>
      <c r="C34" s="15">
        <v>45292</v>
      </c>
      <c r="D34" s="15">
        <v>45352</v>
      </c>
      <c r="E34">
        <v>11</v>
      </c>
      <c r="F34">
        <v>8</v>
      </c>
      <c r="G34">
        <v>5</v>
      </c>
      <c r="H34">
        <v>3</v>
      </c>
      <c r="I34" s="20">
        <v>0</v>
      </c>
      <c r="J34">
        <v>8</v>
      </c>
    </row>
    <row r="35" spans="1:10" x14ac:dyDescent="0.3">
      <c r="A35" t="s">
        <v>22</v>
      </c>
      <c r="B35" s="15">
        <v>45388</v>
      </c>
      <c r="C35" s="15">
        <v>45292</v>
      </c>
      <c r="D35" s="15">
        <v>45383</v>
      </c>
      <c r="E35">
        <v>1</v>
      </c>
      <c r="F35">
        <v>1</v>
      </c>
      <c r="G35">
        <v>1</v>
      </c>
      <c r="H35">
        <v>0</v>
      </c>
      <c r="I35" s="21">
        <v>0</v>
      </c>
      <c r="J35">
        <v>1</v>
      </c>
    </row>
    <row r="36" spans="1:10" x14ac:dyDescent="0.3">
      <c r="A36" t="s">
        <v>152</v>
      </c>
      <c r="B36" s="15">
        <v>45388</v>
      </c>
      <c r="C36" s="15">
        <v>45292</v>
      </c>
      <c r="D36" s="15">
        <v>45383</v>
      </c>
      <c r="E36">
        <v>1</v>
      </c>
      <c r="F36">
        <v>1</v>
      </c>
      <c r="G36">
        <v>0</v>
      </c>
      <c r="H36">
        <v>0</v>
      </c>
      <c r="I36" s="20">
        <v>1</v>
      </c>
      <c r="J36">
        <v>1</v>
      </c>
    </row>
    <row r="37" spans="1:10" x14ac:dyDescent="0.3">
      <c r="A37" t="s">
        <v>59</v>
      </c>
      <c r="B37" s="15">
        <v>45388</v>
      </c>
      <c r="C37" s="15">
        <v>45292</v>
      </c>
      <c r="D37" s="15">
        <v>45383</v>
      </c>
      <c r="E37">
        <v>1</v>
      </c>
      <c r="F37">
        <v>1</v>
      </c>
      <c r="G37">
        <v>1</v>
      </c>
      <c r="H37">
        <v>0</v>
      </c>
      <c r="I37" s="21">
        <v>0</v>
      </c>
      <c r="J37">
        <v>1</v>
      </c>
    </row>
    <row r="38" spans="1:10" x14ac:dyDescent="0.3">
      <c r="A38" t="s">
        <v>152</v>
      </c>
      <c r="B38" s="15">
        <v>45418</v>
      </c>
      <c r="C38" s="15">
        <v>45292</v>
      </c>
      <c r="D38" s="15">
        <v>45413</v>
      </c>
      <c r="E38">
        <v>27</v>
      </c>
      <c r="F38">
        <v>8</v>
      </c>
      <c r="G38">
        <v>1</v>
      </c>
      <c r="H38">
        <v>1</v>
      </c>
      <c r="I38" s="20">
        <v>6</v>
      </c>
      <c r="J38">
        <v>8</v>
      </c>
    </row>
    <row r="39" spans="1:10" x14ac:dyDescent="0.3">
      <c r="A39" t="s">
        <v>175</v>
      </c>
      <c r="B39" s="15">
        <v>45418</v>
      </c>
      <c r="C39" s="15">
        <v>45292</v>
      </c>
      <c r="D39" s="15">
        <v>45413</v>
      </c>
      <c r="E39">
        <v>9</v>
      </c>
      <c r="F39">
        <v>3</v>
      </c>
      <c r="G39">
        <v>2</v>
      </c>
      <c r="H39">
        <v>0</v>
      </c>
      <c r="I39" s="21">
        <v>1</v>
      </c>
      <c r="J39">
        <v>3</v>
      </c>
    </row>
    <row r="40" spans="1:10" x14ac:dyDescent="0.3">
      <c r="A40" t="s">
        <v>22</v>
      </c>
      <c r="B40" s="15">
        <v>45418</v>
      </c>
      <c r="C40" s="15">
        <v>45292</v>
      </c>
      <c r="D40" s="15">
        <v>45413</v>
      </c>
      <c r="E40">
        <v>12</v>
      </c>
      <c r="F40">
        <v>3</v>
      </c>
      <c r="G40">
        <v>2</v>
      </c>
      <c r="H40">
        <v>0</v>
      </c>
      <c r="I40" s="20">
        <v>1</v>
      </c>
      <c r="J40">
        <v>3</v>
      </c>
    </row>
    <row r="41" spans="1:10" x14ac:dyDescent="0.3">
      <c r="A41" t="s">
        <v>59</v>
      </c>
      <c r="B41" s="15">
        <v>45418</v>
      </c>
      <c r="C41" s="15">
        <v>45292</v>
      </c>
      <c r="D41" s="15">
        <v>45413</v>
      </c>
      <c r="E41">
        <v>8</v>
      </c>
      <c r="F41">
        <v>4</v>
      </c>
      <c r="G41">
        <v>1</v>
      </c>
      <c r="H41">
        <v>1</v>
      </c>
      <c r="I41" s="21">
        <v>2</v>
      </c>
      <c r="J41">
        <v>4</v>
      </c>
    </row>
    <row r="42" spans="1:10" x14ac:dyDescent="0.3">
      <c r="A42" t="s">
        <v>175</v>
      </c>
      <c r="B42" s="15">
        <v>45449</v>
      </c>
      <c r="C42" s="15">
        <v>45292</v>
      </c>
      <c r="D42" s="15">
        <v>45444</v>
      </c>
      <c r="E42">
        <v>3</v>
      </c>
      <c r="F42">
        <v>3</v>
      </c>
      <c r="G42">
        <v>1</v>
      </c>
      <c r="H42">
        <v>0</v>
      </c>
      <c r="I42" s="20">
        <v>2</v>
      </c>
      <c r="J42">
        <v>3</v>
      </c>
    </row>
    <row r="43" spans="1:10" x14ac:dyDescent="0.3">
      <c r="A43" t="s">
        <v>59</v>
      </c>
      <c r="B43" s="15">
        <v>45449</v>
      </c>
      <c r="C43" s="15">
        <v>45292</v>
      </c>
      <c r="D43" s="15">
        <v>45444</v>
      </c>
      <c r="E43">
        <v>10</v>
      </c>
      <c r="F43">
        <v>4</v>
      </c>
      <c r="G43">
        <v>1</v>
      </c>
      <c r="H43">
        <v>2</v>
      </c>
      <c r="I43" s="21">
        <v>1</v>
      </c>
      <c r="J43">
        <v>4</v>
      </c>
    </row>
    <row r="44" spans="1:10" x14ac:dyDescent="0.3">
      <c r="A44" t="s">
        <v>152</v>
      </c>
      <c r="B44" s="15">
        <v>45449</v>
      </c>
      <c r="C44" s="15">
        <v>45292</v>
      </c>
      <c r="D44" s="15">
        <v>45444</v>
      </c>
      <c r="E44">
        <v>7</v>
      </c>
      <c r="F44">
        <v>2</v>
      </c>
      <c r="G44">
        <v>0</v>
      </c>
      <c r="H44">
        <v>1</v>
      </c>
      <c r="I44" s="20">
        <v>1</v>
      </c>
      <c r="J44">
        <v>2</v>
      </c>
    </row>
    <row r="45" spans="1:10" x14ac:dyDescent="0.3">
      <c r="A45" t="s">
        <v>59</v>
      </c>
      <c r="B45" s="15">
        <v>45479</v>
      </c>
      <c r="C45" s="15">
        <v>45292</v>
      </c>
      <c r="D45" s="15">
        <v>45474</v>
      </c>
      <c r="E45">
        <v>7</v>
      </c>
      <c r="F45">
        <v>3</v>
      </c>
      <c r="G45">
        <v>3</v>
      </c>
      <c r="H45">
        <v>0</v>
      </c>
      <c r="I45" s="21">
        <v>0</v>
      </c>
      <c r="J45">
        <v>3</v>
      </c>
    </row>
    <row r="46" spans="1:10" x14ac:dyDescent="0.3">
      <c r="A46" t="s">
        <v>152</v>
      </c>
      <c r="B46" s="15">
        <v>45479</v>
      </c>
      <c r="C46" s="15">
        <v>45292</v>
      </c>
      <c r="D46" s="15">
        <v>45474</v>
      </c>
      <c r="E46">
        <v>3</v>
      </c>
      <c r="F46">
        <v>3</v>
      </c>
      <c r="G46">
        <v>3</v>
      </c>
      <c r="H46">
        <v>0</v>
      </c>
      <c r="I46" s="20">
        <v>0</v>
      </c>
      <c r="J46">
        <v>3</v>
      </c>
    </row>
    <row r="47" spans="1:10" x14ac:dyDescent="0.3">
      <c r="A47" t="s">
        <v>59</v>
      </c>
      <c r="B47" s="15">
        <v>45510</v>
      </c>
      <c r="C47" s="15">
        <v>45292</v>
      </c>
      <c r="D47" s="15">
        <v>45505</v>
      </c>
      <c r="E47">
        <v>2</v>
      </c>
      <c r="F47">
        <v>2</v>
      </c>
      <c r="G47">
        <v>2</v>
      </c>
      <c r="H47">
        <v>0</v>
      </c>
      <c r="I47" s="21">
        <v>0</v>
      </c>
      <c r="J47">
        <v>2</v>
      </c>
    </row>
    <row r="48" spans="1:10" x14ac:dyDescent="0.3">
      <c r="A48" t="s">
        <v>152</v>
      </c>
      <c r="B48" s="15">
        <v>45510</v>
      </c>
      <c r="C48" s="15">
        <v>45292</v>
      </c>
      <c r="D48" s="15">
        <v>45505</v>
      </c>
      <c r="E48">
        <v>3</v>
      </c>
      <c r="F48">
        <v>3</v>
      </c>
      <c r="G48">
        <v>3</v>
      </c>
      <c r="H48">
        <v>0</v>
      </c>
      <c r="I48" s="20">
        <v>0</v>
      </c>
      <c r="J48">
        <v>3</v>
      </c>
    </row>
    <row r="49" spans="1:10" x14ac:dyDescent="0.3">
      <c r="A49" t="s">
        <v>22</v>
      </c>
      <c r="B49" s="15">
        <v>45510</v>
      </c>
      <c r="C49" s="15">
        <v>45292</v>
      </c>
      <c r="D49" s="15">
        <v>45505</v>
      </c>
      <c r="E49">
        <v>4</v>
      </c>
      <c r="F49">
        <v>1</v>
      </c>
      <c r="G49">
        <v>1</v>
      </c>
      <c r="H49">
        <v>0</v>
      </c>
      <c r="I49" s="21">
        <v>0</v>
      </c>
      <c r="J49">
        <v>1</v>
      </c>
    </row>
    <row r="50" spans="1:10" x14ac:dyDescent="0.3">
      <c r="A50" t="s">
        <v>175</v>
      </c>
      <c r="B50" s="15">
        <v>45510</v>
      </c>
      <c r="C50" s="15">
        <v>45292</v>
      </c>
      <c r="D50" s="15">
        <v>45505</v>
      </c>
      <c r="E50">
        <v>5</v>
      </c>
      <c r="F50">
        <v>1</v>
      </c>
      <c r="G50">
        <v>0</v>
      </c>
      <c r="H50">
        <v>0</v>
      </c>
      <c r="I50" s="20">
        <v>1</v>
      </c>
      <c r="J50">
        <v>1</v>
      </c>
    </row>
    <row r="51" spans="1:10" x14ac:dyDescent="0.3">
      <c r="A51" t="s">
        <v>59</v>
      </c>
      <c r="B51" s="15">
        <v>45541</v>
      </c>
      <c r="C51" s="15">
        <v>45292</v>
      </c>
      <c r="D51" s="15">
        <v>45536</v>
      </c>
      <c r="E51">
        <v>14</v>
      </c>
      <c r="F51">
        <v>7</v>
      </c>
      <c r="G51">
        <v>4</v>
      </c>
      <c r="H51">
        <v>0</v>
      </c>
      <c r="I51" s="21">
        <v>3</v>
      </c>
      <c r="J51">
        <v>7</v>
      </c>
    </row>
    <row r="52" spans="1:10" x14ac:dyDescent="0.3">
      <c r="A52" t="s">
        <v>152</v>
      </c>
      <c r="B52" s="15">
        <v>45541</v>
      </c>
      <c r="C52" s="15">
        <v>45292</v>
      </c>
      <c r="D52" s="15">
        <v>45536</v>
      </c>
      <c r="E52">
        <v>2</v>
      </c>
      <c r="F52">
        <v>2</v>
      </c>
      <c r="G52">
        <v>1</v>
      </c>
      <c r="H52">
        <v>0</v>
      </c>
      <c r="I52" s="20">
        <v>1</v>
      </c>
      <c r="J52">
        <v>2</v>
      </c>
    </row>
    <row r="53" spans="1:10" x14ac:dyDescent="0.3">
      <c r="A53" t="s">
        <v>9</v>
      </c>
      <c r="B53" s="15">
        <v>45541</v>
      </c>
      <c r="C53" s="15">
        <v>45292</v>
      </c>
      <c r="D53" s="15">
        <v>45536</v>
      </c>
      <c r="E53">
        <v>1</v>
      </c>
      <c r="F53">
        <v>1</v>
      </c>
      <c r="G53">
        <v>1</v>
      </c>
      <c r="H53">
        <v>0</v>
      </c>
      <c r="I53" s="21">
        <v>0</v>
      </c>
      <c r="J53">
        <v>1</v>
      </c>
    </row>
    <row r="54" spans="1:10" x14ac:dyDescent="0.3">
      <c r="A54" t="s">
        <v>22</v>
      </c>
      <c r="B54" s="15">
        <v>45541</v>
      </c>
      <c r="C54" s="15">
        <v>45292</v>
      </c>
      <c r="D54" s="15">
        <v>45536</v>
      </c>
      <c r="E54">
        <v>1</v>
      </c>
      <c r="F54">
        <v>1</v>
      </c>
      <c r="G54">
        <v>1</v>
      </c>
      <c r="H54">
        <v>0</v>
      </c>
      <c r="I54" s="20">
        <v>0</v>
      </c>
      <c r="J54">
        <v>1</v>
      </c>
    </row>
    <row r="55" spans="1:10" x14ac:dyDescent="0.3">
      <c r="A55" t="s">
        <v>175</v>
      </c>
      <c r="B55" s="15">
        <v>45541</v>
      </c>
      <c r="C55" s="15">
        <v>45292</v>
      </c>
      <c r="D55" s="15">
        <v>45536</v>
      </c>
      <c r="E55">
        <v>17</v>
      </c>
      <c r="F55">
        <v>7</v>
      </c>
      <c r="G55">
        <v>4</v>
      </c>
      <c r="H55">
        <v>0</v>
      </c>
      <c r="I55" s="21">
        <v>3</v>
      </c>
      <c r="J55">
        <v>7</v>
      </c>
    </row>
    <row r="56" spans="1:10" x14ac:dyDescent="0.3">
      <c r="A56" t="s">
        <v>59</v>
      </c>
      <c r="B56" s="15">
        <v>45571</v>
      </c>
      <c r="C56" s="15">
        <v>45292</v>
      </c>
      <c r="D56" s="15">
        <v>45566</v>
      </c>
      <c r="E56">
        <v>5</v>
      </c>
      <c r="F56">
        <v>4</v>
      </c>
      <c r="G56">
        <v>3</v>
      </c>
      <c r="H56">
        <v>1</v>
      </c>
      <c r="I56" s="20">
        <v>0</v>
      </c>
      <c r="J56">
        <v>4</v>
      </c>
    </row>
    <row r="57" spans="1:10" x14ac:dyDescent="0.3">
      <c r="A57" t="s">
        <v>173</v>
      </c>
      <c r="B57" s="15">
        <v>45571</v>
      </c>
      <c r="C57" s="15">
        <v>45292</v>
      </c>
      <c r="D57" s="15">
        <v>45566</v>
      </c>
      <c r="E57">
        <v>1</v>
      </c>
      <c r="F57">
        <v>1</v>
      </c>
      <c r="G57">
        <v>0</v>
      </c>
      <c r="H57">
        <v>1</v>
      </c>
      <c r="I57" s="21">
        <v>0</v>
      </c>
      <c r="J57">
        <v>1</v>
      </c>
    </row>
    <row r="58" spans="1:10" x14ac:dyDescent="0.3">
      <c r="A58" t="s">
        <v>152</v>
      </c>
      <c r="B58" s="15">
        <v>45571</v>
      </c>
      <c r="C58" s="15">
        <v>45292</v>
      </c>
      <c r="D58" s="15">
        <v>45566</v>
      </c>
      <c r="E58">
        <v>5</v>
      </c>
      <c r="F58">
        <v>3</v>
      </c>
      <c r="G58">
        <v>3</v>
      </c>
      <c r="H58">
        <v>0</v>
      </c>
      <c r="I58" s="20">
        <v>0</v>
      </c>
      <c r="J58">
        <v>3</v>
      </c>
    </row>
    <row r="59" spans="1:10" x14ac:dyDescent="0.3">
      <c r="A59" t="s">
        <v>175</v>
      </c>
      <c r="B59" s="15">
        <v>45602</v>
      </c>
      <c r="C59" s="15">
        <v>45292</v>
      </c>
      <c r="D59" s="15">
        <v>45597</v>
      </c>
      <c r="E59">
        <v>13</v>
      </c>
      <c r="F59">
        <v>4</v>
      </c>
      <c r="G59">
        <v>2</v>
      </c>
      <c r="H59">
        <v>0</v>
      </c>
      <c r="I59" s="21">
        <v>2</v>
      </c>
      <c r="J59">
        <v>4</v>
      </c>
    </row>
    <row r="60" spans="1:10" x14ac:dyDescent="0.3">
      <c r="A60" t="s">
        <v>152</v>
      </c>
      <c r="B60" s="15">
        <v>45602</v>
      </c>
      <c r="C60" s="15">
        <v>45292</v>
      </c>
      <c r="D60" s="15">
        <v>45597</v>
      </c>
      <c r="E60">
        <v>5</v>
      </c>
      <c r="F60">
        <v>1</v>
      </c>
      <c r="G60">
        <v>0</v>
      </c>
      <c r="H60">
        <v>0</v>
      </c>
      <c r="I60" s="20">
        <v>1</v>
      </c>
      <c r="J60">
        <v>1</v>
      </c>
    </row>
    <row r="61" spans="1:10" x14ac:dyDescent="0.3">
      <c r="A61" t="s">
        <v>22</v>
      </c>
      <c r="B61" s="15">
        <v>45602</v>
      </c>
      <c r="C61" s="15">
        <v>45292</v>
      </c>
      <c r="D61" s="15">
        <v>45597</v>
      </c>
      <c r="E61">
        <v>2</v>
      </c>
      <c r="F61">
        <v>1</v>
      </c>
      <c r="G61">
        <v>1</v>
      </c>
      <c r="H61">
        <v>0</v>
      </c>
      <c r="I61" s="21">
        <v>0</v>
      </c>
      <c r="J61">
        <v>1</v>
      </c>
    </row>
    <row r="62" spans="1:10" x14ac:dyDescent="0.3">
      <c r="A62" t="s">
        <v>59</v>
      </c>
      <c r="B62" s="15">
        <v>45602</v>
      </c>
      <c r="C62" s="15">
        <v>45292</v>
      </c>
      <c r="D62" s="15">
        <v>45597</v>
      </c>
      <c r="E62">
        <v>20</v>
      </c>
      <c r="F62">
        <v>7</v>
      </c>
      <c r="G62">
        <v>0</v>
      </c>
      <c r="H62">
        <v>5</v>
      </c>
      <c r="I62" s="20">
        <v>2</v>
      </c>
      <c r="J62">
        <v>7</v>
      </c>
    </row>
    <row r="63" spans="1:10" x14ac:dyDescent="0.3">
      <c r="A63" t="s">
        <v>59</v>
      </c>
      <c r="B63" s="15">
        <v>45627</v>
      </c>
      <c r="C63" s="15">
        <v>45292</v>
      </c>
      <c r="D63" s="15">
        <v>45627</v>
      </c>
      <c r="E63">
        <v>8</v>
      </c>
      <c r="F63">
        <v>2</v>
      </c>
      <c r="G63">
        <v>0</v>
      </c>
      <c r="H63">
        <v>0</v>
      </c>
      <c r="I63" s="21">
        <v>2</v>
      </c>
      <c r="J63">
        <v>2</v>
      </c>
    </row>
    <row r="64" spans="1:10" x14ac:dyDescent="0.3">
      <c r="A64" t="s">
        <v>22</v>
      </c>
      <c r="B64" s="15">
        <v>45627</v>
      </c>
      <c r="C64" s="15">
        <v>45292</v>
      </c>
      <c r="D64" s="15">
        <v>45627</v>
      </c>
      <c r="E64">
        <v>4</v>
      </c>
      <c r="F64">
        <v>1</v>
      </c>
      <c r="G64">
        <v>0</v>
      </c>
      <c r="H64">
        <v>0</v>
      </c>
      <c r="I64" s="20">
        <v>1</v>
      </c>
      <c r="J64">
        <v>1</v>
      </c>
    </row>
    <row r="65" spans="1:10" x14ac:dyDescent="0.3">
      <c r="A65" t="s">
        <v>152</v>
      </c>
      <c r="B65" s="15">
        <v>45627</v>
      </c>
      <c r="C65" s="15">
        <v>45292</v>
      </c>
      <c r="D65" s="15">
        <v>45627</v>
      </c>
      <c r="E65">
        <v>1</v>
      </c>
      <c r="F65">
        <v>1</v>
      </c>
      <c r="G65">
        <v>0</v>
      </c>
      <c r="H65">
        <v>1</v>
      </c>
      <c r="I65" s="21">
        <v>0</v>
      </c>
      <c r="J65">
        <v>1</v>
      </c>
    </row>
    <row r="66" spans="1:10" x14ac:dyDescent="0.3">
      <c r="A66" t="s">
        <v>175</v>
      </c>
      <c r="B66" s="15">
        <v>45627</v>
      </c>
      <c r="C66" s="15">
        <v>45292</v>
      </c>
      <c r="D66" s="15">
        <v>45627</v>
      </c>
      <c r="E66">
        <v>4</v>
      </c>
      <c r="F66">
        <v>1</v>
      </c>
      <c r="G66">
        <v>0</v>
      </c>
      <c r="H66">
        <v>0</v>
      </c>
      <c r="I66" s="20">
        <v>1</v>
      </c>
      <c r="J66">
        <v>1</v>
      </c>
    </row>
    <row r="67" spans="1:10" x14ac:dyDescent="0.3">
      <c r="A67" t="s">
        <v>22</v>
      </c>
      <c r="B67" s="15">
        <v>45629</v>
      </c>
      <c r="C67" s="15">
        <v>45292</v>
      </c>
      <c r="D67" s="15">
        <v>45627</v>
      </c>
      <c r="E67">
        <v>2</v>
      </c>
      <c r="F67">
        <v>2</v>
      </c>
      <c r="G67">
        <v>2</v>
      </c>
      <c r="H67">
        <v>0</v>
      </c>
      <c r="I67" s="23">
        <v>0</v>
      </c>
      <c r="J67">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F1B2E-E9C4-48D3-83D3-C908C024BF66}">
  <dimension ref="A1:G212"/>
  <sheetViews>
    <sheetView zoomScale="90" workbookViewId="0">
      <selection activeCell="B3" sqref="B3"/>
    </sheetView>
  </sheetViews>
  <sheetFormatPr defaultRowHeight="14.4" x14ac:dyDescent="0.3"/>
  <cols>
    <col min="1" max="1" width="21.33203125" customWidth="1"/>
    <col min="2" max="2" width="15.44140625" style="7" customWidth="1"/>
    <col min="3" max="3" width="15.21875" customWidth="1"/>
    <col min="4" max="4" width="10.109375" customWidth="1"/>
    <col min="6" max="6" width="9.44140625" customWidth="1"/>
  </cols>
  <sheetData>
    <row r="1" spans="1:7" x14ac:dyDescent="0.3">
      <c r="B1"/>
    </row>
    <row r="2" spans="1:7" x14ac:dyDescent="0.3">
      <c r="A2" t="s">
        <v>6</v>
      </c>
      <c r="B2" s="7" t="s">
        <v>2</v>
      </c>
      <c r="C2" t="s">
        <v>215</v>
      </c>
      <c r="D2" t="s">
        <v>216</v>
      </c>
      <c r="E2" t="s">
        <v>217</v>
      </c>
      <c r="F2" t="s">
        <v>218</v>
      </c>
      <c r="G2" t="s">
        <v>219</v>
      </c>
    </row>
    <row r="3" spans="1:7" x14ac:dyDescent="0.3">
      <c r="A3" t="s">
        <v>59</v>
      </c>
      <c r="B3" s="7">
        <v>43805</v>
      </c>
      <c r="C3" t="s">
        <v>220</v>
      </c>
      <c r="D3">
        <v>0</v>
      </c>
      <c r="E3">
        <v>0</v>
      </c>
      <c r="F3">
        <v>1</v>
      </c>
      <c r="G3">
        <v>1</v>
      </c>
    </row>
    <row r="4" spans="1:7" x14ac:dyDescent="0.3">
      <c r="A4" t="s">
        <v>22</v>
      </c>
      <c r="B4" s="7">
        <v>43805</v>
      </c>
      <c r="C4" t="s">
        <v>221</v>
      </c>
      <c r="D4">
        <v>0</v>
      </c>
      <c r="E4">
        <v>0</v>
      </c>
      <c r="F4">
        <v>1</v>
      </c>
      <c r="G4">
        <v>1</v>
      </c>
    </row>
    <row r="5" spans="1:7" x14ac:dyDescent="0.3">
      <c r="A5" t="s">
        <v>152</v>
      </c>
      <c r="B5" s="7">
        <v>43805</v>
      </c>
      <c r="C5" t="s">
        <v>222</v>
      </c>
      <c r="D5">
        <v>1</v>
      </c>
      <c r="E5">
        <v>0</v>
      </c>
      <c r="F5">
        <v>0</v>
      </c>
      <c r="G5">
        <v>1</v>
      </c>
    </row>
    <row r="6" spans="1:7" x14ac:dyDescent="0.3">
      <c r="A6" t="s">
        <v>152</v>
      </c>
      <c r="B6" s="7">
        <v>43805</v>
      </c>
      <c r="C6" t="s">
        <v>223</v>
      </c>
      <c r="D6">
        <v>1</v>
      </c>
      <c r="E6">
        <v>0</v>
      </c>
      <c r="F6">
        <v>0</v>
      </c>
      <c r="G6">
        <v>1</v>
      </c>
    </row>
    <row r="7" spans="1:7" x14ac:dyDescent="0.3">
      <c r="A7" t="s">
        <v>152</v>
      </c>
      <c r="B7" s="7">
        <v>43805</v>
      </c>
      <c r="C7" t="s">
        <v>224</v>
      </c>
      <c r="D7">
        <v>1</v>
      </c>
      <c r="E7">
        <v>0</v>
      </c>
      <c r="F7">
        <v>0</v>
      </c>
      <c r="G7">
        <v>1</v>
      </c>
    </row>
    <row r="8" spans="1:7" x14ac:dyDescent="0.3">
      <c r="A8" t="s">
        <v>175</v>
      </c>
      <c r="B8" s="7">
        <v>43805</v>
      </c>
      <c r="C8" t="s">
        <v>225</v>
      </c>
      <c r="D8">
        <v>1</v>
      </c>
      <c r="E8">
        <v>0</v>
      </c>
      <c r="F8">
        <v>0</v>
      </c>
      <c r="G8">
        <v>1</v>
      </c>
    </row>
    <row r="9" spans="1:7" x14ac:dyDescent="0.3">
      <c r="A9" t="s">
        <v>22</v>
      </c>
      <c r="B9" s="7">
        <v>43805</v>
      </c>
      <c r="C9" t="s">
        <v>226</v>
      </c>
      <c r="D9">
        <v>1</v>
      </c>
      <c r="E9">
        <v>0</v>
      </c>
      <c r="F9">
        <v>0</v>
      </c>
      <c r="G9">
        <v>1</v>
      </c>
    </row>
    <row r="10" spans="1:7" x14ac:dyDescent="0.3">
      <c r="A10" t="s">
        <v>22</v>
      </c>
      <c r="B10" s="7">
        <v>44171</v>
      </c>
      <c r="C10" t="s">
        <v>227</v>
      </c>
      <c r="D10">
        <v>1</v>
      </c>
      <c r="E10">
        <v>0</v>
      </c>
      <c r="F10">
        <v>0</v>
      </c>
      <c r="G10">
        <v>1</v>
      </c>
    </row>
    <row r="11" spans="1:7" x14ac:dyDescent="0.3">
      <c r="A11" t="s">
        <v>152</v>
      </c>
      <c r="B11" s="7">
        <v>44171</v>
      </c>
      <c r="C11" t="s">
        <v>228</v>
      </c>
      <c r="D11">
        <v>1</v>
      </c>
      <c r="E11">
        <v>0</v>
      </c>
      <c r="F11">
        <v>0</v>
      </c>
      <c r="G11">
        <v>1</v>
      </c>
    </row>
    <row r="12" spans="1:7" x14ac:dyDescent="0.3">
      <c r="A12" t="s">
        <v>175</v>
      </c>
      <c r="B12" s="7">
        <v>44171</v>
      </c>
      <c r="C12" t="s">
        <v>229</v>
      </c>
      <c r="D12">
        <v>1</v>
      </c>
      <c r="E12">
        <v>0</v>
      </c>
      <c r="F12">
        <v>0</v>
      </c>
      <c r="G12">
        <v>1</v>
      </c>
    </row>
    <row r="13" spans="1:7" x14ac:dyDescent="0.3">
      <c r="A13" t="s">
        <v>175</v>
      </c>
      <c r="B13" s="7">
        <v>44171</v>
      </c>
      <c r="C13" t="s">
        <v>230</v>
      </c>
      <c r="D13">
        <v>1</v>
      </c>
      <c r="E13">
        <v>0</v>
      </c>
      <c r="F13">
        <v>0</v>
      </c>
      <c r="G13">
        <v>1</v>
      </c>
    </row>
    <row r="14" spans="1:7" x14ac:dyDescent="0.3">
      <c r="A14" t="s">
        <v>152</v>
      </c>
      <c r="B14" s="7">
        <v>44171</v>
      </c>
      <c r="C14" t="s">
        <v>231</v>
      </c>
      <c r="D14">
        <v>1</v>
      </c>
      <c r="E14">
        <v>0</v>
      </c>
      <c r="F14">
        <v>0</v>
      </c>
      <c r="G14">
        <v>1</v>
      </c>
    </row>
    <row r="15" spans="1:7" x14ac:dyDescent="0.3">
      <c r="A15" t="s">
        <v>59</v>
      </c>
      <c r="B15" s="7">
        <v>44171</v>
      </c>
      <c r="C15" t="s">
        <v>232</v>
      </c>
      <c r="D15">
        <v>1</v>
      </c>
      <c r="E15">
        <v>0</v>
      </c>
      <c r="F15">
        <v>0</v>
      </c>
      <c r="G15">
        <v>1</v>
      </c>
    </row>
    <row r="16" spans="1:7" x14ac:dyDescent="0.3">
      <c r="A16" t="s">
        <v>175</v>
      </c>
      <c r="B16" s="7">
        <v>44171</v>
      </c>
      <c r="C16" t="s">
        <v>233</v>
      </c>
      <c r="D16">
        <v>0</v>
      </c>
      <c r="E16">
        <v>0</v>
      </c>
      <c r="F16">
        <v>1</v>
      </c>
      <c r="G16">
        <v>1</v>
      </c>
    </row>
    <row r="17" spans="1:7" x14ac:dyDescent="0.3">
      <c r="A17" t="s">
        <v>175</v>
      </c>
      <c r="B17" s="7">
        <v>44171</v>
      </c>
      <c r="C17" t="s">
        <v>234</v>
      </c>
      <c r="D17">
        <v>0</v>
      </c>
      <c r="E17">
        <v>0</v>
      </c>
      <c r="F17">
        <v>1</v>
      </c>
      <c r="G17">
        <v>1</v>
      </c>
    </row>
    <row r="18" spans="1:7" x14ac:dyDescent="0.3">
      <c r="A18" t="s">
        <v>59</v>
      </c>
      <c r="B18" s="7">
        <v>44536</v>
      </c>
      <c r="C18" t="s">
        <v>235</v>
      </c>
      <c r="D18">
        <v>0</v>
      </c>
      <c r="E18">
        <v>0</v>
      </c>
      <c r="F18">
        <v>1</v>
      </c>
      <c r="G18">
        <v>1</v>
      </c>
    </row>
    <row r="19" spans="1:7" x14ac:dyDescent="0.3">
      <c r="A19" t="s">
        <v>22</v>
      </c>
      <c r="B19" s="7">
        <v>44536</v>
      </c>
      <c r="C19" t="s">
        <v>236</v>
      </c>
      <c r="D19">
        <v>0</v>
      </c>
      <c r="E19">
        <v>1</v>
      </c>
      <c r="F19">
        <v>0</v>
      </c>
      <c r="G19">
        <v>1</v>
      </c>
    </row>
    <row r="20" spans="1:7" x14ac:dyDescent="0.3">
      <c r="A20" t="s">
        <v>59</v>
      </c>
      <c r="B20" s="7">
        <v>44536</v>
      </c>
      <c r="C20" t="s">
        <v>237</v>
      </c>
      <c r="D20">
        <v>0</v>
      </c>
      <c r="E20">
        <v>0</v>
      </c>
      <c r="F20">
        <v>1</v>
      </c>
      <c r="G20">
        <v>1</v>
      </c>
    </row>
    <row r="21" spans="1:7" x14ac:dyDescent="0.3">
      <c r="A21" t="s">
        <v>152</v>
      </c>
      <c r="B21" s="7">
        <v>44536</v>
      </c>
      <c r="C21" t="s">
        <v>238</v>
      </c>
      <c r="D21">
        <v>1</v>
      </c>
      <c r="E21">
        <v>0</v>
      </c>
      <c r="F21">
        <v>0</v>
      </c>
      <c r="G21">
        <v>1</v>
      </c>
    </row>
    <row r="22" spans="1:7" x14ac:dyDescent="0.3">
      <c r="A22" t="s">
        <v>9</v>
      </c>
      <c r="B22" s="7">
        <v>44536</v>
      </c>
      <c r="C22" t="s">
        <v>239</v>
      </c>
      <c r="D22">
        <v>1</v>
      </c>
      <c r="E22">
        <v>0</v>
      </c>
      <c r="F22">
        <v>0</v>
      </c>
      <c r="G22">
        <v>1</v>
      </c>
    </row>
    <row r="23" spans="1:7" x14ac:dyDescent="0.3">
      <c r="A23" t="s">
        <v>175</v>
      </c>
      <c r="B23" s="7">
        <v>44536</v>
      </c>
      <c r="C23" t="s">
        <v>225</v>
      </c>
      <c r="D23">
        <v>1</v>
      </c>
      <c r="E23">
        <v>0</v>
      </c>
      <c r="F23">
        <v>0</v>
      </c>
      <c r="G23">
        <v>1</v>
      </c>
    </row>
    <row r="24" spans="1:7" x14ac:dyDescent="0.3">
      <c r="A24" t="s">
        <v>59</v>
      </c>
      <c r="B24" s="7">
        <v>44536</v>
      </c>
      <c r="C24" t="s">
        <v>240</v>
      </c>
      <c r="D24">
        <v>0</v>
      </c>
      <c r="E24">
        <v>0</v>
      </c>
      <c r="F24">
        <v>1</v>
      </c>
      <c r="G24">
        <v>1</v>
      </c>
    </row>
    <row r="25" spans="1:7" x14ac:dyDescent="0.3">
      <c r="A25" t="s">
        <v>59</v>
      </c>
      <c r="B25" s="7">
        <v>44536</v>
      </c>
      <c r="C25" t="s">
        <v>241</v>
      </c>
      <c r="D25">
        <v>0</v>
      </c>
      <c r="E25">
        <v>0</v>
      </c>
      <c r="F25">
        <v>1</v>
      </c>
      <c r="G25">
        <v>1</v>
      </c>
    </row>
    <row r="26" spans="1:7" x14ac:dyDescent="0.3">
      <c r="A26" t="s">
        <v>59</v>
      </c>
      <c r="B26" s="7">
        <v>44536</v>
      </c>
      <c r="C26" t="s">
        <v>242</v>
      </c>
      <c r="D26">
        <v>0</v>
      </c>
      <c r="E26">
        <v>0</v>
      </c>
      <c r="F26">
        <v>1</v>
      </c>
      <c r="G26">
        <v>1</v>
      </c>
    </row>
    <row r="27" spans="1:7" x14ac:dyDescent="0.3">
      <c r="A27" t="s">
        <v>22</v>
      </c>
      <c r="B27" s="7">
        <v>44536</v>
      </c>
      <c r="C27" t="s">
        <v>243</v>
      </c>
      <c r="D27">
        <v>1</v>
      </c>
      <c r="E27">
        <v>0</v>
      </c>
      <c r="F27">
        <v>0</v>
      </c>
      <c r="G27">
        <v>1</v>
      </c>
    </row>
    <row r="28" spans="1:7" x14ac:dyDescent="0.3">
      <c r="A28" t="s">
        <v>152</v>
      </c>
      <c r="B28" s="7">
        <v>44536</v>
      </c>
      <c r="C28" t="s">
        <v>244</v>
      </c>
      <c r="D28">
        <v>1</v>
      </c>
      <c r="E28">
        <v>0</v>
      </c>
      <c r="F28">
        <v>1</v>
      </c>
      <c r="G28">
        <v>2</v>
      </c>
    </row>
    <row r="29" spans="1:7" x14ac:dyDescent="0.3">
      <c r="A29" t="s">
        <v>175</v>
      </c>
      <c r="B29" s="7">
        <v>44536</v>
      </c>
      <c r="C29" t="s">
        <v>245</v>
      </c>
      <c r="D29">
        <v>1</v>
      </c>
      <c r="E29">
        <v>0</v>
      </c>
      <c r="F29">
        <v>0</v>
      </c>
      <c r="G29">
        <v>1</v>
      </c>
    </row>
    <row r="30" spans="1:7" x14ac:dyDescent="0.3">
      <c r="A30" t="s">
        <v>152</v>
      </c>
      <c r="B30" s="7">
        <v>44536</v>
      </c>
      <c r="C30" t="s">
        <v>246</v>
      </c>
      <c r="D30">
        <v>0</v>
      </c>
      <c r="E30">
        <v>0</v>
      </c>
      <c r="F30">
        <v>1</v>
      </c>
      <c r="G30">
        <v>1</v>
      </c>
    </row>
    <row r="31" spans="1:7" x14ac:dyDescent="0.3">
      <c r="A31" t="s">
        <v>59</v>
      </c>
      <c r="B31" s="7">
        <v>44536</v>
      </c>
      <c r="C31" t="s">
        <v>247</v>
      </c>
      <c r="D31">
        <v>0</v>
      </c>
      <c r="E31">
        <v>0</v>
      </c>
      <c r="F31">
        <v>1</v>
      </c>
      <c r="G31">
        <v>1</v>
      </c>
    </row>
    <row r="32" spans="1:7" x14ac:dyDescent="0.3">
      <c r="A32" t="s">
        <v>152</v>
      </c>
      <c r="B32" s="7">
        <v>44536</v>
      </c>
      <c r="C32" t="s">
        <v>248</v>
      </c>
      <c r="D32">
        <v>0</v>
      </c>
      <c r="E32">
        <v>0</v>
      </c>
      <c r="F32">
        <v>1</v>
      </c>
      <c r="G32">
        <v>1</v>
      </c>
    </row>
    <row r="33" spans="1:7" x14ac:dyDescent="0.3">
      <c r="A33" t="s">
        <v>175</v>
      </c>
      <c r="B33" s="7">
        <v>44536</v>
      </c>
      <c r="C33" t="s">
        <v>249</v>
      </c>
      <c r="D33">
        <v>0</v>
      </c>
      <c r="E33">
        <v>0</v>
      </c>
      <c r="F33">
        <v>1</v>
      </c>
      <c r="G33">
        <v>1</v>
      </c>
    </row>
    <row r="34" spans="1:7" x14ac:dyDescent="0.3">
      <c r="A34" t="s">
        <v>152</v>
      </c>
      <c r="B34" s="7">
        <v>44536</v>
      </c>
      <c r="C34" t="s">
        <v>250</v>
      </c>
      <c r="D34">
        <v>1</v>
      </c>
      <c r="E34">
        <v>0</v>
      </c>
      <c r="F34">
        <v>0</v>
      </c>
      <c r="G34">
        <v>1</v>
      </c>
    </row>
    <row r="35" spans="1:7" x14ac:dyDescent="0.3">
      <c r="A35" t="s">
        <v>152</v>
      </c>
      <c r="B35" s="7">
        <v>44536</v>
      </c>
      <c r="C35" t="s">
        <v>251</v>
      </c>
      <c r="D35">
        <v>1</v>
      </c>
      <c r="E35">
        <v>0</v>
      </c>
      <c r="F35">
        <v>0</v>
      </c>
      <c r="G35">
        <v>1</v>
      </c>
    </row>
    <row r="36" spans="1:7" x14ac:dyDescent="0.3">
      <c r="A36" t="s">
        <v>59</v>
      </c>
      <c r="B36" s="7">
        <v>44536</v>
      </c>
      <c r="C36" t="s">
        <v>252</v>
      </c>
      <c r="D36">
        <v>1</v>
      </c>
      <c r="E36">
        <v>0</v>
      </c>
      <c r="F36">
        <v>0</v>
      </c>
      <c r="G36">
        <v>1</v>
      </c>
    </row>
    <row r="37" spans="1:7" x14ac:dyDescent="0.3">
      <c r="A37" t="s">
        <v>59</v>
      </c>
      <c r="B37" s="7">
        <v>44536</v>
      </c>
      <c r="C37" t="s">
        <v>253</v>
      </c>
      <c r="D37">
        <v>1</v>
      </c>
      <c r="E37">
        <v>0</v>
      </c>
      <c r="F37">
        <v>0</v>
      </c>
      <c r="G37">
        <v>1</v>
      </c>
    </row>
    <row r="38" spans="1:7" x14ac:dyDescent="0.3">
      <c r="A38" t="s">
        <v>175</v>
      </c>
      <c r="B38" s="7">
        <v>44536</v>
      </c>
      <c r="C38" t="s">
        <v>254</v>
      </c>
      <c r="D38">
        <v>1</v>
      </c>
      <c r="E38">
        <v>0</v>
      </c>
      <c r="F38">
        <v>1</v>
      </c>
      <c r="G38">
        <v>2</v>
      </c>
    </row>
    <row r="39" spans="1:7" x14ac:dyDescent="0.3">
      <c r="A39" t="s">
        <v>175</v>
      </c>
      <c r="B39" s="7">
        <v>44901</v>
      </c>
      <c r="C39" t="s">
        <v>254</v>
      </c>
      <c r="D39">
        <v>2</v>
      </c>
      <c r="E39">
        <v>0</v>
      </c>
      <c r="F39">
        <v>0</v>
      </c>
      <c r="G39">
        <v>2</v>
      </c>
    </row>
    <row r="40" spans="1:7" x14ac:dyDescent="0.3">
      <c r="A40" t="s">
        <v>152</v>
      </c>
      <c r="B40" s="7">
        <v>44901</v>
      </c>
      <c r="C40" t="s">
        <v>255</v>
      </c>
      <c r="D40">
        <v>1</v>
      </c>
      <c r="E40">
        <v>0</v>
      </c>
      <c r="F40">
        <v>0</v>
      </c>
      <c r="G40">
        <v>1</v>
      </c>
    </row>
    <row r="41" spans="1:7" x14ac:dyDescent="0.3">
      <c r="A41" t="s">
        <v>59</v>
      </c>
      <c r="B41" s="7">
        <v>44901</v>
      </c>
      <c r="C41" t="s">
        <v>256</v>
      </c>
      <c r="D41">
        <v>0</v>
      </c>
      <c r="E41">
        <v>0</v>
      </c>
      <c r="F41">
        <v>1</v>
      </c>
      <c r="G41">
        <v>1</v>
      </c>
    </row>
    <row r="42" spans="1:7" x14ac:dyDescent="0.3">
      <c r="A42" t="s">
        <v>59</v>
      </c>
      <c r="B42" s="7">
        <v>44901</v>
      </c>
      <c r="C42" t="s">
        <v>257</v>
      </c>
      <c r="D42">
        <v>0</v>
      </c>
      <c r="E42">
        <v>1</v>
      </c>
      <c r="F42">
        <v>0</v>
      </c>
      <c r="G42">
        <v>1</v>
      </c>
    </row>
    <row r="43" spans="1:7" x14ac:dyDescent="0.3">
      <c r="A43" t="s">
        <v>22</v>
      </c>
      <c r="B43" s="7">
        <v>44901</v>
      </c>
      <c r="C43" t="s">
        <v>243</v>
      </c>
      <c r="D43">
        <v>1</v>
      </c>
      <c r="E43">
        <v>0</v>
      </c>
      <c r="F43">
        <v>0</v>
      </c>
      <c r="G43">
        <v>1</v>
      </c>
    </row>
    <row r="44" spans="1:7" x14ac:dyDescent="0.3">
      <c r="A44" t="s">
        <v>175</v>
      </c>
      <c r="B44" s="7">
        <v>44901</v>
      </c>
      <c r="C44" t="s">
        <v>258</v>
      </c>
      <c r="D44">
        <v>1</v>
      </c>
      <c r="E44">
        <v>0</v>
      </c>
      <c r="F44">
        <v>0</v>
      </c>
      <c r="G44">
        <v>1</v>
      </c>
    </row>
    <row r="45" spans="1:7" x14ac:dyDescent="0.3">
      <c r="A45" t="s">
        <v>9</v>
      </c>
      <c r="B45" s="7">
        <v>44901</v>
      </c>
      <c r="C45" t="s">
        <v>259</v>
      </c>
      <c r="D45">
        <v>1</v>
      </c>
      <c r="E45">
        <v>0</v>
      </c>
      <c r="F45">
        <v>0</v>
      </c>
      <c r="G45">
        <v>1</v>
      </c>
    </row>
    <row r="46" spans="1:7" x14ac:dyDescent="0.3">
      <c r="A46" t="s">
        <v>175</v>
      </c>
      <c r="B46" s="7">
        <v>44901</v>
      </c>
      <c r="C46" t="s">
        <v>229</v>
      </c>
      <c r="D46">
        <v>0</v>
      </c>
      <c r="E46">
        <v>0</v>
      </c>
      <c r="F46">
        <v>1</v>
      </c>
      <c r="G46">
        <v>1</v>
      </c>
    </row>
    <row r="47" spans="1:7" x14ac:dyDescent="0.3">
      <c r="A47" t="s">
        <v>22</v>
      </c>
      <c r="B47" s="7">
        <v>44901</v>
      </c>
      <c r="C47" t="s">
        <v>226</v>
      </c>
      <c r="D47">
        <v>1</v>
      </c>
      <c r="E47">
        <v>0</v>
      </c>
      <c r="F47">
        <v>0</v>
      </c>
      <c r="G47">
        <v>1</v>
      </c>
    </row>
    <row r="48" spans="1:7" x14ac:dyDescent="0.3">
      <c r="A48" t="s">
        <v>173</v>
      </c>
      <c r="B48" s="7">
        <v>44901</v>
      </c>
      <c r="C48" t="s">
        <v>260</v>
      </c>
      <c r="D48">
        <v>0</v>
      </c>
      <c r="E48">
        <v>1</v>
      </c>
      <c r="F48">
        <v>0</v>
      </c>
      <c r="G48">
        <v>1</v>
      </c>
    </row>
    <row r="49" spans="1:7" x14ac:dyDescent="0.3">
      <c r="A49" t="s">
        <v>152</v>
      </c>
      <c r="B49" s="7">
        <v>44901</v>
      </c>
      <c r="C49" t="s">
        <v>261</v>
      </c>
      <c r="D49">
        <v>0</v>
      </c>
      <c r="E49">
        <v>0</v>
      </c>
      <c r="F49">
        <v>1</v>
      </c>
      <c r="G49">
        <v>1</v>
      </c>
    </row>
    <row r="50" spans="1:7" x14ac:dyDescent="0.3">
      <c r="A50" t="s">
        <v>173</v>
      </c>
      <c r="B50" s="7">
        <v>44901</v>
      </c>
      <c r="C50" t="s">
        <v>262</v>
      </c>
      <c r="D50">
        <v>1</v>
      </c>
      <c r="E50">
        <v>0</v>
      </c>
      <c r="F50">
        <v>0</v>
      </c>
      <c r="G50">
        <v>1</v>
      </c>
    </row>
    <row r="51" spans="1:7" x14ac:dyDescent="0.3">
      <c r="A51" t="s">
        <v>152</v>
      </c>
      <c r="B51" s="7">
        <v>44901</v>
      </c>
      <c r="C51" t="s">
        <v>263</v>
      </c>
      <c r="D51">
        <v>0</v>
      </c>
      <c r="E51">
        <v>0</v>
      </c>
      <c r="F51">
        <v>1</v>
      </c>
      <c r="G51">
        <v>1</v>
      </c>
    </row>
    <row r="52" spans="1:7" x14ac:dyDescent="0.3">
      <c r="A52" t="s">
        <v>59</v>
      </c>
      <c r="B52" s="7">
        <v>44901</v>
      </c>
      <c r="C52" t="s">
        <v>220</v>
      </c>
      <c r="D52">
        <v>2</v>
      </c>
      <c r="E52">
        <v>0</v>
      </c>
      <c r="F52">
        <v>2</v>
      </c>
      <c r="G52">
        <v>4</v>
      </c>
    </row>
    <row r="53" spans="1:7" x14ac:dyDescent="0.3">
      <c r="A53" t="s">
        <v>152</v>
      </c>
      <c r="B53" s="7">
        <v>44901</v>
      </c>
      <c r="C53" t="s">
        <v>244</v>
      </c>
      <c r="D53">
        <v>1</v>
      </c>
      <c r="E53">
        <v>1</v>
      </c>
      <c r="F53">
        <v>0</v>
      </c>
      <c r="G53">
        <v>2</v>
      </c>
    </row>
    <row r="54" spans="1:7" x14ac:dyDescent="0.3">
      <c r="A54" t="s">
        <v>173</v>
      </c>
      <c r="B54" s="7">
        <v>44901</v>
      </c>
      <c r="C54" t="s">
        <v>264</v>
      </c>
      <c r="D54">
        <v>0</v>
      </c>
      <c r="E54">
        <v>1</v>
      </c>
      <c r="F54">
        <v>0</v>
      </c>
      <c r="G54">
        <v>1</v>
      </c>
    </row>
    <row r="55" spans="1:7" x14ac:dyDescent="0.3">
      <c r="A55" t="s">
        <v>152</v>
      </c>
      <c r="B55" s="7">
        <v>44901</v>
      </c>
      <c r="C55" t="s">
        <v>265</v>
      </c>
      <c r="D55">
        <v>0</v>
      </c>
      <c r="E55">
        <v>0</v>
      </c>
      <c r="F55">
        <v>1</v>
      </c>
      <c r="G55">
        <v>1</v>
      </c>
    </row>
    <row r="56" spans="1:7" x14ac:dyDescent="0.3">
      <c r="A56" t="s">
        <v>59</v>
      </c>
      <c r="B56" s="7">
        <v>44901</v>
      </c>
      <c r="C56" t="s">
        <v>253</v>
      </c>
      <c r="D56">
        <v>1</v>
      </c>
      <c r="E56">
        <v>0</v>
      </c>
      <c r="F56">
        <v>0</v>
      </c>
      <c r="G56">
        <v>1</v>
      </c>
    </row>
    <row r="57" spans="1:7" x14ac:dyDescent="0.3">
      <c r="A57" t="s">
        <v>59</v>
      </c>
      <c r="B57" s="7">
        <v>44901</v>
      </c>
      <c r="C57" t="s">
        <v>266</v>
      </c>
      <c r="D57">
        <v>0</v>
      </c>
      <c r="E57">
        <v>0</v>
      </c>
      <c r="F57">
        <v>1</v>
      </c>
      <c r="G57">
        <v>1</v>
      </c>
    </row>
    <row r="58" spans="1:7" x14ac:dyDescent="0.3">
      <c r="A58" t="s">
        <v>175</v>
      </c>
      <c r="B58" s="7">
        <v>44901</v>
      </c>
      <c r="C58" t="s">
        <v>267</v>
      </c>
      <c r="D58">
        <v>2</v>
      </c>
      <c r="E58">
        <v>0</v>
      </c>
      <c r="F58">
        <v>0</v>
      </c>
      <c r="G58">
        <v>2</v>
      </c>
    </row>
    <row r="59" spans="1:7" x14ac:dyDescent="0.3">
      <c r="A59" t="s">
        <v>152</v>
      </c>
      <c r="B59" s="7">
        <v>44901</v>
      </c>
      <c r="C59" t="s">
        <v>268</v>
      </c>
      <c r="D59">
        <v>0</v>
      </c>
      <c r="E59">
        <v>1</v>
      </c>
      <c r="F59">
        <v>0</v>
      </c>
      <c r="G59">
        <v>1</v>
      </c>
    </row>
    <row r="60" spans="1:7" x14ac:dyDescent="0.3">
      <c r="A60" t="s">
        <v>22</v>
      </c>
      <c r="B60" s="7">
        <v>44901</v>
      </c>
      <c r="C60" t="s">
        <v>269</v>
      </c>
      <c r="D60">
        <v>1</v>
      </c>
      <c r="E60">
        <v>0</v>
      </c>
      <c r="F60">
        <v>0</v>
      </c>
      <c r="G60">
        <v>1</v>
      </c>
    </row>
    <row r="61" spans="1:7" x14ac:dyDescent="0.3">
      <c r="A61" t="s">
        <v>152</v>
      </c>
      <c r="B61" s="7">
        <v>44901</v>
      </c>
      <c r="C61" t="s">
        <v>270</v>
      </c>
      <c r="D61">
        <v>1</v>
      </c>
      <c r="E61">
        <v>0</v>
      </c>
      <c r="F61">
        <v>0</v>
      </c>
      <c r="G61">
        <v>1</v>
      </c>
    </row>
    <row r="62" spans="1:7" x14ac:dyDescent="0.3">
      <c r="A62" t="s">
        <v>152</v>
      </c>
      <c r="B62" s="7">
        <v>44901</v>
      </c>
      <c r="C62" t="s">
        <v>271</v>
      </c>
      <c r="D62">
        <v>1</v>
      </c>
      <c r="E62">
        <v>0</v>
      </c>
      <c r="F62">
        <v>0</v>
      </c>
      <c r="G62">
        <v>1</v>
      </c>
    </row>
    <row r="63" spans="1:7" x14ac:dyDescent="0.3">
      <c r="A63" t="s">
        <v>175</v>
      </c>
      <c r="B63" s="7">
        <v>45266</v>
      </c>
      <c r="C63" t="s">
        <v>272</v>
      </c>
      <c r="D63">
        <v>1</v>
      </c>
      <c r="E63">
        <v>0</v>
      </c>
      <c r="F63">
        <v>0</v>
      </c>
      <c r="G63">
        <v>1</v>
      </c>
    </row>
    <row r="64" spans="1:7" x14ac:dyDescent="0.3">
      <c r="A64" t="s">
        <v>175</v>
      </c>
      <c r="B64" s="7">
        <v>45266</v>
      </c>
      <c r="C64" t="s">
        <v>254</v>
      </c>
      <c r="D64">
        <v>1</v>
      </c>
      <c r="E64">
        <v>0</v>
      </c>
      <c r="F64">
        <v>1</v>
      </c>
      <c r="G64">
        <v>2</v>
      </c>
    </row>
    <row r="65" spans="1:7" x14ac:dyDescent="0.3">
      <c r="A65" t="s">
        <v>152</v>
      </c>
      <c r="B65" s="7">
        <v>45266</v>
      </c>
      <c r="C65" t="s">
        <v>255</v>
      </c>
      <c r="D65">
        <v>3</v>
      </c>
      <c r="E65">
        <v>0</v>
      </c>
      <c r="F65">
        <v>1</v>
      </c>
      <c r="G65">
        <v>4</v>
      </c>
    </row>
    <row r="66" spans="1:7" x14ac:dyDescent="0.3">
      <c r="A66" t="s">
        <v>59</v>
      </c>
      <c r="B66" s="7">
        <v>45266</v>
      </c>
      <c r="C66" t="s">
        <v>256</v>
      </c>
      <c r="D66">
        <v>1</v>
      </c>
      <c r="E66">
        <v>3</v>
      </c>
      <c r="F66">
        <v>1</v>
      </c>
      <c r="G66">
        <v>5</v>
      </c>
    </row>
    <row r="67" spans="1:7" x14ac:dyDescent="0.3">
      <c r="A67" t="s">
        <v>152</v>
      </c>
      <c r="B67" s="7">
        <v>45266</v>
      </c>
      <c r="C67" t="s">
        <v>273</v>
      </c>
      <c r="D67">
        <v>1</v>
      </c>
      <c r="E67">
        <v>0</v>
      </c>
      <c r="F67">
        <v>0</v>
      </c>
      <c r="G67">
        <v>1</v>
      </c>
    </row>
    <row r="68" spans="1:7" x14ac:dyDescent="0.3">
      <c r="A68" t="s">
        <v>152</v>
      </c>
      <c r="B68" s="7">
        <v>45266</v>
      </c>
      <c r="C68" t="s">
        <v>274</v>
      </c>
      <c r="D68">
        <v>1</v>
      </c>
      <c r="E68">
        <v>0</v>
      </c>
      <c r="F68">
        <v>0</v>
      </c>
      <c r="G68">
        <v>1</v>
      </c>
    </row>
    <row r="69" spans="1:7" x14ac:dyDescent="0.3">
      <c r="A69" t="s">
        <v>22</v>
      </c>
      <c r="B69" s="7">
        <v>45266</v>
      </c>
      <c r="C69" t="s">
        <v>275</v>
      </c>
      <c r="D69">
        <v>1</v>
      </c>
      <c r="E69">
        <v>0</v>
      </c>
      <c r="F69">
        <v>0</v>
      </c>
      <c r="G69">
        <v>1</v>
      </c>
    </row>
    <row r="70" spans="1:7" x14ac:dyDescent="0.3">
      <c r="A70" t="s">
        <v>174</v>
      </c>
      <c r="B70" s="7">
        <v>45266</v>
      </c>
      <c r="C70" t="s">
        <v>276</v>
      </c>
      <c r="D70">
        <v>2</v>
      </c>
      <c r="E70">
        <v>0</v>
      </c>
      <c r="F70">
        <v>1</v>
      </c>
      <c r="G70">
        <v>3</v>
      </c>
    </row>
    <row r="71" spans="1:7" x14ac:dyDescent="0.3">
      <c r="A71" t="s">
        <v>174</v>
      </c>
      <c r="B71" s="7">
        <v>45266</v>
      </c>
      <c r="C71" t="s">
        <v>277</v>
      </c>
      <c r="D71">
        <v>1</v>
      </c>
      <c r="E71">
        <v>0</v>
      </c>
      <c r="F71">
        <v>0</v>
      </c>
      <c r="G71">
        <v>1</v>
      </c>
    </row>
    <row r="72" spans="1:7" x14ac:dyDescent="0.3">
      <c r="A72" t="s">
        <v>175</v>
      </c>
      <c r="B72" s="7">
        <v>45266</v>
      </c>
      <c r="C72" t="s">
        <v>278</v>
      </c>
      <c r="D72">
        <v>2</v>
      </c>
      <c r="E72">
        <v>0</v>
      </c>
      <c r="F72">
        <v>0</v>
      </c>
      <c r="G72">
        <v>2</v>
      </c>
    </row>
    <row r="73" spans="1:7" x14ac:dyDescent="0.3">
      <c r="A73" t="s">
        <v>152</v>
      </c>
      <c r="B73" s="7">
        <v>45266</v>
      </c>
      <c r="C73" t="s">
        <v>279</v>
      </c>
      <c r="D73">
        <v>1</v>
      </c>
      <c r="E73">
        <v>0</v>
      </c>
      <c r="F73">
        <v>0</v>
      </c>
      <c r="G73">
        <v>1</v>
      </c>
    </row>
    <row r="74" spans="1:7" x14ac:dyDescent="0.3">
      <c r="A74" t="s">
        <v>152</v>
      </c>
      <c r="B74" s="7">
        <v>45266</v>
      </c>
      <c r="C74" t="s">
        <v>280</v>
      </c>
      <c r="D74">
        <v>0</v>
      </c>
      <c r="E74">
        <v>0</v>
      </c>
      <c r="F74">
        <v>1</v>
      </c>
      <c r="G74">
        <v>1</v>
      </c>
    </row>
    <row r="75" spans="1:7" x14ac:dyDescent="0.3">
      <c r="A75" t="s">
        <v>9</v>
      </c>
      <c r="B75" s="7">
        <v>45266</v>
      </c>
      <c r="C75" t="s">
        <v>281</v>
      </c>
      <c r="D75">
        <v>1</v>
      </c>
      <c r="E75">
        <v>0</v>
      </c>
      <c r="F75">
        <v>0</v>
      </c>
      <c r="G75">
        <v>1</v>
      </c>
    </row>
    <row r="76" spans="1:7" x14ac:dyDescent="0.3">
      <c r="A76" t="s">
        <v>175</v>
      </c>
      <c r="B76" s="7">
        <v>45266</v>
      </c>
      <c r="C76" t="s">
        <v>225</v>
      </c>
      <c r="D76">
        <v>3</v>
      </c>
      <c r="E76">
        <v>0</v>
      </c>
      <c r="F76">
        <v>1</v>
      </c>
      <c r="G76">
        <v>4</v>
      </c>
    </row>
    <row r="77" spans="1:7" x14ac:dyDescent="0.3">
      <c r="A77" t="s">
        <v>175</v>
      </c>
      <c r="B77" s="7">
        <v>45266</v>
      </c>
      <c r="C77" t="s">
        <v>282</v>
      </c>
      <c r="D77">
        <v>1</v>
      </c>
      <c r="E77">
        <v>0</v>
      </c>
      <c r="F77">
        <v>0</v>
      </c>
      <c r="G77">
        <v>1</v>
      </c>
    </row>
    <row r="78" spans="1:7" x14ac:dyDescent="0.3">
      <c r="A78" t="s">
        <v>175</v>
      </c>
      <c r="B78" s="7">
        <v>45266</v>
      </c>
      <c r="C78" t="s">
        <v>229</v>
      </c>
      <c r="D78">
        <v>4</v>
      </c>
      <c r="E78">
        <v>0</v>
      </c>
      <c r="F78">
        <v>1</v>
      </c>
      <c r="G78">
        <v>5</v>
      </c>
    </row>
    <row r="79" spans="1:7" x14ac:dyDescent="0.3">
      <c r="A79" t="s">
        <v>175</v>
      </c>
      <c r="B79" s="7">
        <v>45266</v>
      </c>
      <c r="C79" t="s">
        <v>283</v>
      </c>
      <c r="D79">
        <v>1</v>
      </c>
      <c r="E79">
        <v>0</v>
      </c>
      <c r="F79">
        <v>0</v>
      </c>
      <c r="G79">
        <v>1</v>
      </c>
    </row>
    <row r="80" spans="1:7" x14ac:dyDescent="0.3">
      <c r="A80" t="s">
        <v>59</v>
      </c>
      <c r="B80" s="7">
        <v>45266</v>
      </c>
      <c r="C80" t="s">
        <v>284</v>
      </c>
      <c r="D80">
        <v>1</v>
      </c>
      <c r="E80">
        <v>0</v>
      </c>
      <c r="F80">
        <v>0</v>
      </c>
      <c r="G80">
        <v>1</v>
      </c>
    </row>
    <row r="81" spans="1:7" x14ac:dyDescent="0.3">
      <c r="A81" t="s">
        <v>59</v>
      </c>
      <c r="B81" s="7">
        <v>45266</v>
      </c>
      <c r="C81" t="s">
        <v>237</v>
      </c>
      <c r="D81">
        <v>0</v>
      </c>
      <c r="E81">
        <v>0</v>
      </c>
      <c r="F81">
        <v>1</v>
      </c>
      <c r="G81">
        <v>1</v>
      </c>
    </row>
    <row r="82" spans="1:7" x14ac:dyDescent="0.3">
      <c r="A82" t="s">
        <v>152</v>
      </c>
      <c r="B82" s="7">
        <v>45266</v>
      </c>
      <c r="C82" t="s">
        <v>285</v>
      </c>
      <c r="D82">
        <v>1</v>
      </c>
      <c r="E82">
        <v>0</v>
      </c>
      <c r="F82">
        <v>0</v>
      </c>
      <c r="G82">
        <v>1</v>
      </c>
    </row>
    <row r="83" spans="1:7" x14ac:dyDescent="0.3">
      <c r="A83" t="s">
        <v>175</v>
      </c>
      <c r="B83" s="7">
        <v>45266</v>
      </c>
      <c r="C83" t="s">
        <v>258</v>
      </c>
      <c r="D83">
        <v>0</v>
      </c>
      <c r="E83">
        <v>0</v>
      </c>
      <c r="F83">
        <v>1</v>
      </c>
      <c r="G83">
        <v>1</v>
      </c>
    </row>
    <row r="84" spans="1:7" x14ac:dyDescent="0.3">
      <c r="A84" t="s">
        <v>175</v>
      </c>
      <c r="B84" s="7">
        <v>45266</v>
      </c>
      <c r="C84" t="s">
        <v>286</v>
      </c>
      <c r="D84">
        <v>1</v>
      </c>
      <c r="E84">
        <v>0</v>
      </c>
      <c r="F84">
        <v>0</v>
      </c>
      <c r="G84">
        <v>1</v>
      </c>
    </row>
    <row r="85" spans="1:7" x14ac:dyDescent="0.3">
      <c r="A85" t="s">
        <v>9</v>
      </c>
      <c r="B85" s="7">
        <v>45266</v>
      </c>
      <c r="C85" t="s">
        <v>259</v>
      </c>
      <c r="D85">
        <v>1</v>
      </c>
      <c r="E85">
        <v>0</v>
      </c>
      <c r="F85">
        <v>0</v>
      </c>
      <c r="G85">
        <v>1</v>
      </c>
    </row>
    <row r="86" spans="1:7" x14ac:dyDescent="0.3">
      <c r="A86" t="s">
        <v>152</v>
      </c>
      <c r="B86" s="7">
        <v>45266</v>
      </c>
      <c r="C86" t="s">
        <v>287</v>
      </c>
      <c r="D86">
        <v>0</v>
      </c>
      <c r="E86">
        <v>1</v>
      </c>
      <c r="F86">
        <v>0</v>
      </c>
      <c r="G86">
        <v>1</v>
      </c>
    </row>
    <row r="87" spans="1:7" x14ac:dyDescent="0.3">
      <c r="A87" t="s">
        <v>152</v>
      </c>
      <c r="B87" s="7">
        <v>45266</v>
      </c>
      <c r="C87" t="s">
        <v>288</v>
      </c>
      <c r="D87">
        <v>0</v>
      </c>
      <c r="E87">
        <v>0</v>
      </c>
      <c r="F87">
        <v>1</v>
      </c>
      <c r="G87">
        <v>1</v>
      </c>
    </row>
    <row r="88" spans="1:7" x14ac:dyDescent="0.3">
      <c r="A88" t="s">
        <v>152</v>
      </c>
      <c r="B88" s="7">
        <v>45266</v>
      </c>
      <c r="C88" t="s">
        <v>244</v>
      </c>
      <c r="D88">
        <v>3</v>
      </c>
      <c r="E88">
        <v>2</v>
      </c>
      <c r="F88">
        <v>0</v>
      </c>
      <c r="G88">
        <v>5</v>
      </c>
    </row>
    <row r="89" spans="1:7" x14ac:dyDescent="0.3">
      <c r="A89" t="s">
        <v>152</v>
      </c>
      <c r="B89" s="7">
        <v>45266</v>
      </c>
      <c r="C89" t="s">
        <v>289</v>
      </c>
      <c r="D89">
        <v>0</v>
      </c>
      <c r="E89">
        <v>1</v>
      </c>
      <c r="F89">
        <v>0</v>
      </c>
      <c r="G89">
        <v>1</v>
      </c>
    </row>
    <row r="90" spans="1:7" x14ac:dyDescent="0.3">
      <c r="A90" t="s">
        <v>152</v>
      </c>
      <c r="B90" s="7">
        <v>45266</v>
      </c>
      <c r="C90" t="s">
        <v>290</v>
      </c>
      <c r="D90">
        <v>1</v>
      </c>
      <c r="E90">
        <v>0</v>
      </c>
      <c r="F90">
        <v>0</v>
      </c>
      <c r="G90">
        <v>1</v>
      </c>
    </row>
    <row r="91" spans="1:7" x14ac:dyDescent="0.3">
      <c r="A91" t="s">
        <v>152</v>
      </c>
      <c r="B91" s="7">
        <v>45266</v>
      </c>
      <c r="C91" t="s">
        <v>291</v>
      </c>
      <c r="D91">
        <v>1</v>
      </c>
      <c r="E91">
        <v>0</v>
      </c>
      <c r="F91">
        <v>0</v>
      </c>
      <c r="G91">
        <v>1</v>
      </c>
    </row>
    <row r="92" spans="1:7" x14ac:dyDescent="0.3">
      <c r="A92" t="s">
        <v>9</v>
      </c>
      <c r="B92" s="7">
        <v>45266</v>
      </c>
      <c r="C92" t="s">
        <v>292</v>
      </c>
      <c r="D92">
        <v>1</v>
      </c>
      <c r="E92">
        <v>0</v>
      </c>
      <c r="F92">
        <v>0</v>
      </c>
      <c r="G92">
        <v>1</v>
      </c>
    </row>
    <row r="93" spans="1:7" x14ac:dyDescent="0.3">
      <c r="A93" t="s">
        <v>175</v>
      </c>
      <c r="B93" s="7">
        <v>45266</v>
      </c>
      <c r="C93" t="s">
        <v>293</v>
      </c>
      <c r="D93">
        <v>1</v>
      </c>
      <c r="E93">
        <v>0</v>
      </c>
      <c r="F93">
        <v>0</v>
      </c>
      <c r="G93">
        <v>1</v>
      </c>
    </row>
    <row r="94" spans="1:7" x14ac:dyDescent="0.3">
      <c r="A94" t="s">
        <v>152</v>
      </c>
      <c r="B94" s="7">
        <v>45266</v>
      </c>
      <c r="C94" t="s">
        <v>294</v>
      </c>
      <c r="D94">
        <v>0</v>
      </c>
      <c r="E94">
        <v>0</v>
      </c>
      <c r="F94">
        <v>1</v>
      </c>
      <c r="G94">
        <v>1</v>
      </c>
    </row>
    <row r="95" spans="1:7" x14ac:dyDescent="0.3">
      <c r="A95" t="s">
        <v>152</v>
      </c>
      <c r="B95" s="7">
        <v>45266</v>
      </c>
      <c r="C95" t="s">
        <v>295</v>
      </c>
      <c r="D95">
        <v>0</v>
      </c>
      <c r="E95">
        <v>1</v>
      </c>
      <c r="F95">
        <v>0</v>
      </c>
      <c r="G95">
        <v>1</v>
      </c>
    </row>
    <row r="96" spans="1:7" x14ac:dyDescent="0.3">
      <c r="A96" t="s">
        <v>9</v>
      </c>
      <c r="B96" s="7">
        <v>45266</v>
      </c>
      <c r="C96" t="s">
        <v>296</v>
      </c>
      <c r="D96">
        <v>1</v>
      </c>
      <c r="E96">
        <v>0</v>
      </c>
      <c r="F96">
        <v>0</v>
      </c>
      <c r="G96">
        <v>1</v>
      </c>
    </row>
    <row r="97" spans="1:7" x14ac:dyDescent="0.3">
      <c r="A97" t="s">
        <v>173</v>
      </c>
      <c r="B97" s="7">
        <v>45266</v>
      </c>
      <c r="C97" t="s">
        <v>297</v>
      </c>
      <c r="D97">
        <v>1</v>
      </c>
      <c r="E97">
        <v>0</v>
      </c>
      <c r="F97">
        <v>0</v>
      </c>
      <c r="G97">
        <v>1</v>
      </c>
    </row>
    <row r="98" spans="1:7" x14ac:dyDescent="0.3">
      <c r="A98" t="s">
        <v>59</v>
      </c>
      <c r="B98" s="7">
        <v>45266</v>
      </c>
      <c r="C98" t="s">
        <v>252</v>
      </c>
      <c r="D98">
        <v>0</v>
      </c>
      <c r="E98">
        <v>0</v>
      </c>
      <c r="F98">
        <v>2</v>
      </c>
      <c r="G98">
        <v>2</v>
      </c>
    </row>
    <row r="99" spans="1:7" x14ac:dyDescent="0.3">
      <c r="A99" t="s">
        <v>152</v>
      </c>
      <c r="B99" s="7">
        <v>45266</v>
      </c>
      <c r="C99" t="s">
        <v>298</v>
      </c>
      <c r="D99">
        <v>1</v>
      </c>
      <c r="E99">
        <v>0</v>
      </c>
      <c r="F99">
        <v>0</v>
      </c>
      <c r="G99">
        <v>1</v>
      </c>
    </row>
    <row r="100" spans="1:7" x14ac:dyDescent="0.3">
      <c r="A100" t="s">
        <v>175</v>
      </c>
      <c r="B100" s="7">
        <v>45266</v>
      </c>
      <c r="C100" t="s">
        <v>299</v>
      </c>
      <c r="D100">
        <v>1</v>
      </c>
      <c r="E100">
        <v>0</v>
      </c>
      <c r="F100">
        <v>1</v>
      </c>
      <c r="G100">
        <v>2</v>
      </c>
    </row>
    <row r="101" spans="1:7" x14ac:dyDescent="0.3">
      <c r="A101" t="s">
        <v>59</v>
      </c>
      <c r="B101" s="7">
        <v>45266</v>
      </c>
      <c r="C101" t="s">
        <v>300</v>
      </c>
      <c r="D101">
        <v>1</v>
      </c>
      <c r="E101">
        <v>0</v>
      </c>
      <c r="F101">
        <v>0</v>
      </c>
      <c r="G101">
        <v>1</v>
      </c>
    </row>
    <row r="102" spans="1:7" x14ac:dyDescent="0.3">
      <c r="A102" t="s">
        <v>152</v>
      </c>
      <c r="B102" s="7">
        <v>45266</v>
      </c>
      <c r="C102" t="s">
        <v>301</v>
      </c>
      <c r="D102">
        <v>0</v>
      </c>
      <c r="E102">
        <v>0</v>
      </c>
      <c r="F102">
        <v>1</v>
      </c>
      <c r="G102">
        <v>1</v>
      </c>
    </row>
    <row r="103" spans="1:7" x14ac:dyDescent="0.3">
      <c r="A103" t="s">
        <v>175</v>
      </c>
      <c r="B103" s="7">
        <v>45266</v>
      </c>
      <c r="C103" t="s">
        <v>302</v>
      </c>
      <c r="D103">
        <v>3</v>
      </c>
      <c r="E103">
        <v>0</v>
      </c>
      <c r="F103">
        <v>1</v>
      </c>
      <c r="G103">
        <v>4</v>
      </c>
    </row>
    <row r="104" spans="1:7" x14ac:dyDescent="0.3">
      <c r="A104" t="s">
        <v>59</v>
      </c>
      <c r="B104" s="7">
        <v>45266</v>
      </c>
      <c r="C104" t="s">
        <v>303</v>
      </c>
      <c r="D104">
        <v>0</v>
      </c>
      <c r="E104">
        <v>1</v>
      </c>
      <c r="F104">
        <v>0</v>
      </c>
      <c r="G104">
        <v>1</v>
      </c>
    </row>
    <row r="105" spans="1:7" x14ac:dyDescent="0.3">
      <c r="A105" t="s">
        <v>59</v>
      </c>
      <c r="B105" s="7">
        <v>45266</v>
      </c>
      <c r="C105" t="s">
        <v>304</v>
      </c>
      <c r="D105">
        <v>1</v>
      </c>
      <c r="E105">
        <v>0</v>
      </c>
      <c r="F105">
        <v>0</v>
      </c>
      <c r="G105">
        <v>1</v>
      </c>
    </row>
    <row r="106" spans="1:7" x14ac:dyDescent="0.3">
      <c r="A106" t="s">
        <v>152</v>
      </c>
      <c r="B106" s="7">
        <v>45266</v>
      </c>
      <c r="C106" t="s">
        <v>270</v>
      </c>
      <c r="D106">
        <v>1</v>
      </c>
      <c r="E106">
        <v>0</v>
      </c>
      <c r="F106">
        <v>0</v>
      </c>
      <c r="G106">
        <v>1</v>
      </c>
    </row>
    <row r="107" spans="1:7" x14ac:dyDescent="0.3">
      <c r="A107" t="s">
        <v>152</v>
      </c>
      <c r="B107" s="7">
        <v>45266</v>
      </c>
      <c r="C107" t="s">
        <v>305</v>
      </c>
      <c r="D107">
        <v>1</v>
      </c>
      <c r="E107">
        <v>0</v>
      </c>
      <c r="F107">
        <v>0</v>
      </c>
      <c r="G107">
        <v>1</v>
      </c>
    </row>
    <row r="108" spans="1:7" x14ac:dyDescent="0.3">
      <c r="A108" t="s">
        <v>59</v>
      </c>
      <c r="B108" s="7">
        <v>45266</v>
      </c>
      <c r="C108" t="s">
        <v>306</v>
      </c>
      <c r="D108">
        <v>1</v>
      </c>
      <c r="E108">
        <v>1</v>
      </c>
      <c r="F108">
        <v>0</v>
      </c>
      <c r="G108">
        <v>2</v>
      </c>
    </row>
    <row r="109" spans="1:7" x14ac:dyDescent="0.3">
      <c r="A109" t="s">
        <v>59</v>
      </c>
      <c r="B109" s="7">
        <v>45266</v>
      </c>
      <c r="C109" t="s">
        <v>220</v>
      </c>
      <c r="D109">
        <v>5</v>
      </c>
      <c r="E109">
        <v>2</v>
      </c>
      <c r="F109">
        <v>3</v>
      </c>
      <c r="G109">
        <v>10</v>
      </c>
    </row>
    <row r="110" spans="1:7" x14ac:dyDescent="0.3">
      <c r="A110" t="s">
        <v>22</v>
      </c>
      <c r="B110" s="7">
        <v>45266</v>
      </c>
      <c r="C110" t="s">
        <v>307</v>
      </c>
      <c r="D110">
        <v>0</v>
      </c>
      <c r="E110">
        <v>1</v>
      </c>
      <c r="F110">
        <v>0</v>
      </c>
      <c r="G110">
        <v>1</v>
      </c>
    </row>
    <row r="111" spans="1:7" x14ac:dyDescent="0.3">
      <c r="A111" t="s">
        <v>152</v>
      </c>
      <c r="B111" s="7">
        <v>45266</v>
      </c>
      <c r="C111" t="s">
        <v>308</v>
      </c>
      <c r="D111">
        <v>1</v>
      </c>
      <c r="E111">
        <v>0</v>
      </c>
      <c r="F111">
        <v>0</v>
      </c>
      <c r="G111">
        <v>1</v>
      </c>
    </row>
    <row r="112" spans="1:7" x14ac:dyDescent="0.3">
      <c r="A112" t="s">
        <v>152</v>
      </c>
      <c r="B112" s="7">
        <v>45297</v>
      </c>
      <c r="C112" t="s">
        <v>309</v>
      </c>
      <c r="D112">
        <v>1</v>
      </c>
      <c r="E112">
        <v>0</v>
      </c>
      <c r="F112">
        <v>0</v>
      </c>
      <c r="G112">
        <v>1</v>
      </c>
    </row>
    <row r="113" spans="1:7" x14ac:dyDescent="0.3">
      <c r="A113" t="s">
        <v>152</v>
      </c>
      <c r="B113" s="7">
        <v>45297</v>
      </c>
      <c r="C113" t="s">
        <v>310</v>
      </c>
      <c r="D113">
        <v>1</v>
      </c>
      <c r="E113">
        <v>0</v>
      </c>
      <c r="F113">
        <v>0</v>
      </c>
      <c r="G113">
        <v>1</v>
      </c>
    </row>
    <row r="114" spans="1:7" x14ac:dyDescent="0.3">
      <c r="A114" t="s">
        <v>59</v>
      </c>
      <c r="B114" s="7">
        <v>45328</v>
      </c>
      <c r="C114" t="s">
        <v>311</v>
      </c>
      <c r="D114">
        <v>0</v>
      </c>
      <c r="E114">
        <v>1</v>
      </c>
      <c r="F114">
        <v>0</v>
      </c>
      <c r="G114">
        <v>1</v>
      </c>
    </row>
    <row r="115" spans="1:7" x14ac:dyDescent="0.3">
      <c r="A115" t="s">
        <v>175</v>
      </c>
      <c r="B115" s="7">
        <v>45328</v>
      </c>
      <c r="C115" t="s">
        <v>225</v>
      </c>
      <c r="D115">
        <v>0</v>
      </c>
      <c r="E115">
        <v>0</v>
      </c>
      <c r="F115">
        <v>1</v>
      </c>
      <c r="G115">
        <v>1</v>
      </c>
    </row>
    <row r="116" spans="1:7" x14ac:dyDescent="0.3">
      <c r="A116" t="s">
        <v>152</v>
      </c>
      <c r="B116" s="7">
        <v>45328</v>
      </c>
      <c r="C116" t="s">
        <v>312</v>
      </c>
      <c r="D116">
        <v>1</v>
      </c>
      <c r="E116">
        <v>0</v>
      </c>
      <c r="F116">
        <v>0</v>
      </c>
      <c r="G116">
        <v>1</v>
      </c>
    </row>
    <row r="117" spans="1:7" x14ac:dyDescent="0.3">
      <c r="A117" t="s">
        <v>59</v>
      </c>
      <c r="B117" s="7">
        <v>45328</v>
      </c>
      <c r="C117" t="s">
        <v>313</v>
      </c>
      <c r="D117">
        <v>1</v>
      </c>
      <c r="E117">
        <v>0</v>
      </c>
      <c r="F117">
        <v>0</v>
      </c>
      <c r="G117">
        <v>1</v>
      </c>
    </row>
    <row r="118" spans="1:7" x14ac:dyDescent="0.3">
      <c r="A118" t="s">
        <v>152</v>
      </c>
      <c r="B118" s="7">
        <v>45328</v>
      </c>
      <c r="C118" t="s">
        <v>314</v>
      </c>
      <c r="D118">
        <v>1</v>
      </c>
      <c r="E118">
        <v>0</v>
      </c>
      <c r="F118">
        <v>0</v>
      </c>
      <c r="G118">
        <v>1</v>
      </c>
    </row>
    <row r="119" spans="1:7" x14ac:dyDescent="0.3">
      <c r="A119" t="s">
        <v>59</v>
      </c>
      <c r="B119" s="7">
        <v>45328</v>
      </c>
      <c r="C119" t="s">
        <v>315</v>
      </c>
      <c r="D119">
        <v>1</v>
      </c>
      <c r="E119">
        <v>0</v>
      </c>
      <c r="F119">
        <v>0</v>
      </c>
      <c r="G119">
        <v>1</v>
      </c>
    </row>
    <row r="120" spans="1:7" x14ac:dyDescent="0.3">
      <c r="A120" t="s">
        <v>175</v>
      </c>
      <c r="B120" s="7">
        <v>45328</v>
      </c>
      <c r="C120" t="s">
        <v>254</v>
      </c>
      <c r="D120">
        <v>1</v>
      </c>
      <c r="E120">
        <v>0</v>
      </c>
      <c r="F120">
        <v>0</v>
      </c>
      <c r="G120">
        <v>1</v>
      </c>
    </row>
    <row r="121" spans="1:7" x14ac:dyDescent="0.3">
      <c r="A121" t="s">
        <v>152</v>
      </c>
      <c r="B121" s="7">
        <v>45357</v>
      </c>
      <c r="C121" t="s">
        <v>316</v>
      </c>
      <c r="D121">
        <v>0</v>
      </c>
      <c r="E121">
        <v>1</v>
      </c>
      <c r="F121">
        <v>0</v>
      </c>
      <c r="G121">
        <v>1</v>
      </c>
    </row>
    <row r="122" spans="1:7" x14ac:dyDescent="0.3">
      <c r="A122" t="s">
        <v>22</v>
      </c>
      <c r="B122" s="7">
        <v>45357</v>
      </c>
      <c r="C122" t="s">
        <v>317</v>
      </c>
      <c r="D122">
        <v>1</v>
      </c>
      <c r="E122">
        <v>0</v>
      </c>
      <c r="F122">
        <v>0</v>
      </c>
      <c r="G122">
        <v>1</v>
      </c>
    </row>
    <row r="123" spans="1:7" x14ac:dyDescent="0.3">
      <c r="A123" t="s">
        <v>59</v>
      </c>
      <c r="B123" s="7">
        <v>45357</v>
      </c>
      <c r="C123" t="s">
        <v>318</v>
      </c>
      <c r="D123">
        <v>1</v>
      </c>
      <c r="E123">
        <v>0</v>
      </c>
      <c r="F123">
        <v>0</v>
      </c>
      <c r="G123">
        <v>1</v>
      </c>
    </row>
    <row r="124" spans="1:7" x14ac:dyDescent="0.3">
      <c r="A124" t="s">
        <v>152</v>
      </c>
      <c r="B124" s="7">
        <v>45357</v>
      </c>
      <c r="C124" t="s">
        <v>319</v>
      </c>
      <c r="D124">
        <v>1</v>
      </c>
      <c r="E124">
        <v>0</v>
      </c>
      <c r="F124">
        <v>0</v>
      </c>
      <c r="G124">
        <v>1</v>
      </c>
    </row>
    <row r="125" spans="1:7" x14ac:dyDescent="0.3">
      <c r="A125" t="s">
        <v>152</v>
      </c>
      <c r="B125" s="7">
        <v>45357</v>
      </c>
      <c r="C125" t="s">
        <v>320</v>
      </c>
      <c r="D125">
        <v>1</v>
      </c>
      <c r="E125">
        <v>0</v>
      </c>
      <c r="F125">
        <v>0</v>
      </c>
      <c r="G125">
        <v>1</v>
      </c>
    </row>
    <row r="126" spans="1:7" x14ac:dyDescent="0.3">
      <c r="A126" t="s">
        <v>59</v>
      </c>
      <c r="B126" s="7">
        <v>45357</v>
      </c>
      <c r="C126" t="s">
        <v>321</v>
      </c>
      <c r="D126">
        <v>1</v>
      </c>
      <c r="E126">
        <v>0</v>
      </c>
      <c r="F126">
        <v>0</v>
      </c>
      <c r="G126">
        <v>1</v>
      </c>
    </row>
    <row r="127" spans="1:7" x14ac:dyDescent="0.3">
      <c r="A127" t="s">
        <v>22</v>
      </c>
      <c r="B127" s="7">
        <v>45357</v>
      </c>
      <c r="C127" t="s">
        <v>243</v>
      </c>
      <c r="D127">
        <v>1</v>
      </c>
      <c r="E127">
        <v>0</v>
      </c>
      <c r="F127">
        <v>0</v>
      </c>
      <c r="G127">
        <v>1</v>
      </c>
    </row>
    <row r="128" spans="1:7" x14ac:dyDescent="0.3">
      <c r="A128" t="s">
        <v>152</v>
      </c>
      <c r="B128" s="7">
        <v>45357</v>
      </c>
      <c r="C128" t="s">
        <v>244</v>
      </c>
      <c r="D128">
        <v>1</v>
      </c>
      <c r="E128">
        <v>0</v>
      </c>
      <c r="F128">
        <v>0</v>
      </c>
      <c r="G128">
        <v>1</v>
      </c>
    </row>
    <row r="129" spans="1:7" x14ac:dyDescent="0.3">
      <c r="A129" t="s">
        <v>22</v>
      </c>
      <c r="B129" s="7">
        <v>45357</v>
      </c>
      <c r="C129" t="s">
        <v>322</v>
      </c>
      <c r="D129">
        <v>0</v>
      </c>
      <c r="E129">
        <v>1</v>
      </c>
      <c r="F129">
        <v>0</v>
      </c>
      <c r="G129">
        <v>1</v>
      </c>
    </row>
    <row r="130" spans="1:7" x14ac:dyDescent="0.3">
      <c r="A130" t="s">
        <v>152</v>
      </c>
      <c r="B130" s="7">
        <v>45357</v>
      </c>
      <c r="C130" t="s">
        <v>323</v>
      </c>
      <c r="D130">
        <v>0</v>
      </c>
      <c r="E130">
        <v>1</v>
      </c>
      <c r="F130">
        <v>0</v>
      </c>
      <c r="G130">
        <v>1</v>
      </c>
    </row>
    <row r="131" spans="1:7" x14ac:dyDescent="0.3">
      <c r="A131" t="s">
        <v>152</v>
      </c>
      <c r="B131" s="7">
        <v>45357</v>
      </c>
      <c r="C131" t="s">
        <v>324</v>
      </c>
      <c r="D131">
        <v>1</v>
      </c>
      <c r="E131">
        <v>0</v>
      </c>
      <c r="F131">
        <v>0</v>
      </c>
      <c r="G131">
        <v>1</v>
      </c>
    </row>
    <row r="132" spans="1:7" x14ac:dyDescent="0.3">
      <c r="A132" t="s">
        <v>59</v>
      </c>
      <c r="B132" s="7">
        <v>45357</v>
      </c>
      <c r="C132" t="s">
        <v>325</v>
      </c>
      <c r="D132">
        <v>1</v>
      </c>
      <c r="E132">
        <v>0</v>
      </c>
      <c r="F132">
        <v>0</v>
      </c>
      <c r="G132">
        <v>1</v>
      </c>
    </row>
    <row r="133" spans="1:7" x14ac:dyDescent="0.3">
      <c r="A133" t="s">
        <v>152</v>
      </c>
      <c r="B133" s="7">
        <v>45357</v>
      </c>
      <c r="C133" t="s">
        <v>326</v>
      </c>
      <c r="D133">
        <v>1</v>
      </c>
      <c r="E133">
        <v>0</v>
      </c>
      <c r="F133">
        <v>0</v>
      </c>
      <c r="G133">
        <v>1</v>
      </c>
    </row>
    <row r="134" spans="1:7" x14ac:dyDescent="0.3">
      <c r="A134" t="s">
        <v>152</v>
      </c>
      <c r="B134" s="7">
        <v>45357</v>
      </c>
      <c r="C134" t="s">
        <v>327</v>
      </c>
      <c r="D134">
        <v>0</v>
      </c>
      <c r="E134">
        <v>1</v>
      </c>
      <c r="F134">
        <v>0</v>
      </c>
      <c r="G134">
        <v>1</v>
      </c>
    </row>
    <row r="135" spans="1:7" x14ac:dyDescent="0.3">
      <c r="A135" t="s">
        <v>152</v>
      </c>
      <c r="B135" s="7">
        <v>45388</v>
      </c>
      <c r="C135" t="s">
        <v>244</v>
      </c>
      <c r="D135">
        <v>0</v>
      </c>
      <c r="E135">
        <v>0</v>
      </c>
      <c r="F135">
        <v>1</v>
      </c>
      <c r="G135">
        <v>1</v>
      </c>
    </row>
    <row r="136" spans="1:7" x14ac:dyDescent="0.3">
      <c r="A136" t="s">
        <v>59</v>
      </c>
      <c r="B136" s="7">
        <v>45388</v>
      </c>
      <c r="C136" t="s">
        <v>256</v>
      </c>
      <c r="D136">
        <v>1</v>
      </c>
      <c r="E136">
        <v>0</v>
      </c>
      <c r="F136">
        <v>0</v>
      </c>
      <c r="G136">
        <v>1</v>
      </c>
    </row>
    <row r="137" spans="1:7" x14ac:dyDescent="0.3">
      <c r="A137" t="s">
        <v>22</v>
      </c>
      <c r="B137" s="7">
        <v>45388</v>
      </c>
      <c r="C137" t="s">
        <v>226</v>
      </c>
      <c r="D137">
        <v>1</v>
      </c>
      <c r="E137">
        <v>0</v>
      </c>
      <c r="F137">
        <v>0</v>
      </c>
      <c r="G137">
        <v>1</v>
      </c>
    </row>
    <row r="138" spans="1:7" x14ac:dyDescent="0.3">
      <c r="A138" t="s">
        <v>175</v>
      </c>
      <c r="B138" s="7">
        <v>45418</v>
      </c>
      <c r="C138" t="s">
        <v>225</v>
      </c>
      <c r="D138">
        <v>1</v>
      </c>
      <c r="E138">
        <v>0</v>
      </c>
      <c r="F138">
        <v>1</v>
      </c>
      <c r="G138">
        <v>2</v>
      </c>
    </row>
    <row r="139" spans="1:7" x14ac:dyDescent="0.3">
      <c r="A139" t="s">
        <v>152</v>
      </c>
      <c r="B139" s="7">
        <v>45418</v>
      </c>
      <c r="C139" t="s">
        <v>224</v>
      </c>
      <c r="D139">
        <v>0</v>
      </c>
      <c r="E139">
        <v>0</v>
      </c>
      <c r="F139">
        <v>1</v>
      </c>
      <c r="G139">
        <v>1</v>
      </c>
    </row>
    <row r="140" spans="1:7" x14ac:dyDescent="0.3">
      <c r="A140" t="s">
        <v>59</v>
      </c>
      <c r="B140" s="7">
        <v>45418</v>
      </c>
      <c r="C140" t="s">
        <v>328</v>
      </c>
      <c r="D140">
        <v>0</v>
      </c>
      <c r="E140">
        <v>0</v>
      </c>
      <c r="F140">
        <v>1</v>
      </c>
      <c r="G140">
        <v>1</v>
      </c>
    </row>
    <row r="141" spans="1:7" x14ac:dyDescent="0.3">
      <c r="A141" t="s">
        <v>152</v>
      </c>
      <c r="B141" s="7">
        <v>45418</v>
      </c>
      <c r="C141" t="s">
        <v>329</v>
      </c>
      <c r="D141">
        <v>0</v>
      </c>
      <c r="E141">
        <v>0</v>
      </c>
      <c r="F141">
        <v>1</v>
      </c>
      <c r="G141">
        <v>1</v>
      </c>
    </row>
    <row r="142" spans="1:7" x14ac:dyDescent="0.3">
      <c r="A142" t="s">
        <v>152</v>
      </c>
      <c r="B142" s="7">
        <v>45418</v>
      </c>
      <c r="C142" t="s">
        <v>330</v>
      </c>
      <c r="D142">
        <v>0</v>
      </c>
      <c r="E142">
        <v>0</v>
      </c>
      <c r="F142">
        <v>1</v>
      </c>
      <c r="G142">
        <v>1</v>
      </c>
    </row>
    <row r="143" spans="1:7" x14ac:dyDescent="0.3">
      <c r="A143" t="s">
        <v>22</v>
      </c>
      <c r="B143" s="7">
        <v>45418</v>
      </c>
      <c r="C143" t="s">
        <v>226</v>
      </c>
      <c r="D143">
        <v>1</v>
      </c>
      <c r="E143">
        <v>0</v>
      </c>
      <c r="F143">
        <v>0</v>
      </c>
      <c r="G143">
        <v>1</v>
      </c>
    </row>
    <row r="144" spans="1:7" x14ac:dyDescent="0.3">
      <c r="A144" t="s">
        <v>175</v>
      </c>
      <c r="B144" s="7">
        <v>45418</v>
      </c>
      <c r="C144" t="s">
        <v>229</v>
      </c>
      <c r="D144">
        <v>1</v>
      </c>
      <c r="E144">
        <v>0</v>
      </c>
      <c r="F144">
        <v>0</v>
      </c>
      <c r="G144">
        <v>1</v>
      </c>
    </row>
    <row r="145" spans="1:7" x14ac:dyDescent="0.3">
      <c r="A145" t="s">
        <v>22</v>
      </c>
      <c r="B145" s="7">
        <v>45418</v>
      </c>
      <c r="C145" t="s">
        <v>331</v>
      </c>
      <c r="D145">
        <v>0</v>
      </c>
      <c r="E145">
        <v>0</v>
      </c>
      <c r="F145">
        <v>1</v>
      </c>
      <c r="G145">
        <v>1</v>
      </c>
    </row>
    <row r="146" spans="1:7" x14ac:dyDescent="0.3">
      <c r="A146" t="s">
        <v>59</v>
      </c>
      <c r="B146" s="7">
        <v>45418</v>
      </c>
      <c r="C146" t="s">
        <v>332</v>
      </c>
      <c r="D146">
        <v>1</v>
      </c>
      <c r="E146">
        <v>0</v>
      </c>
      <c r="F146">
        <v>0</v>
      </c>
      <c r="G146">
        <v>1</v>
      </c>
    </row>
    <row r="147" spans="1:7" x14ac:dyDescent="0.3">
      <c r="A147" t="s">
        <v>59</v>
      </c>
      <c r="B147" s="7">
        <v>45418</v>
      </c>
      <c r="C147" t="s">
        <v>220</v>
      </c>
      <c r="D147">
        <v>0</v>
      </c>
      <c r="E147">
        <v>0</v>
      </c>
      <c r="F147">
        <v>1</v>
      </c>
      <c r="G147">
        <v>1</v>
      </c>
    </row>
    <row r="148" spans="1:7" x14ac:dyDescent="0.3">
      <c r="A148" t="s">
        <v>152</v>
      </c>
      <c r="B148" s="7">
        <v>45418</v>
      </c>
      <c r="C148" t="s">
        <v>270</v>
      </c>
      <c r="D148">
        <v>1</v>
      </c>
      <c r="E148">
        <v>0</v>
      </c>
      <c r="F148">
        <v>0</v>
      </c>
      <c r="G148">
        <v>1</v>
      </c>
    </row>
    <row r="149" spans="1:7" x14ac:dyDescent="0.3">
      <c r="A149" t="s">
        <v>152</v>
      </c>
      <c r="B149" s="7">
        <v>45418</v>
      </c>
      <c r="C149" t="s">
        <v>323</v>
      </c>
      <c r="D149">
        <v>0</v>
      </c>
      <c r="E149">
        <v>0</v>
      </c>
      <c r="F149">
        <v>1</v>
      </c>
      <c r="G149">
        <v>1</v>
      </c>
    </row>
    <row r="150" spans="1:7" x14ac:dyDescent="0.3">
      <c r="A150" t="s">
        <v>59</v>
      </c>
      <c r="B150" s="7">
        <v>45418</v>
      </c>
      <c r="C150" t="s">
        <v>333</v>
      </c>
      <c r="D150">
        <v>0</v>
      </c>
      <c r="E150">
        <v>1</v>
      </c>
      <c r="F150">
        <v>0</v>
      </c>
      <c r="G150">
        <v>1</v>
      </c>
    </row>
    <row r="151" spans="1:7" x14ac:dyDescent="0.3">
      <c r="A151" t="s">
        <v>152</v>
      </c>
      <c r="B151" s="7">
        <v>45418</v>
      </c>
      <c r="C151" t="s">
        <v>334</v>
      </c>
      <c r="D151">
        <v>0</v>
      </c>
      <c r="E151">
        <v>0</v>
      </c>
      <c r="F151">
        <v>1</v>
      </c>
      <c r="G151">
        <v>1</v>
      </c>
    </row>
    <row r="152" spans="1:7" x14ac:dyDescent="0.3">
      <c r="A152" t="s">
        <v>152</v>
      </c>
      <c r="B152" s="7">
        <v>45418</v>
      </c>
      <c r="C152" t="s">
        <v>335</v>
      </c>
      <c r="D152">
        <v>0</v>
      </c>
      <c r="E152">
        <v>1</v>
      </c>
      <c r="F152">
        <v>0</v>
      </c>
      <c r="G152">
        <v>1</v>
      </c>
    </row>
    <row r="153" spans="1:7" x14ac:dyDescent="0.3">
      <c r="A153" t="s">
        <v>22</v>
      </c>
      <c r="B153" s="7">
        <v>45418</v>
      </c>
      <c r="C153" t="s">
        <v>336</v>
      </c>
      <c r="D153">
        <v>1</v>
      </c>
      <c r="E153">
        <v>0</v>
      </c>
      <c r="F153">
        <v>0</v>
      </c>
      <c r="G153">
        <v>1</v>
      </c>
    </row>
    <row r="154" spans="1:7" x14ac:dyDescent="0.3">
      <c r="A154" t="s">
        <v>152</v>
      </c>
      <c r="B154" s="7">
        <v>45418</v>
      </c>
      <c r="C154" t="s">
        <v>337</v>
      </c>
      <c r="D154">
        <v>0</v>
      </c>
      <c r="E154">
        <v>0</v>
      </c>
      <c r="F154">
        <v>1</v>
      </c>
      <c r="G154">
        <v>1</v>
      </c>
    </row>
    <row r="155" spans="1:7" x14ac:dyDescent="0.3">
      <c r="A155" t="s">
        <v>175</v>
      </c>
      <c r="B155" s="7">
        <v>45449</v>
      </c>
      <c r="C155" t="s">
        <v>229</v>
      </c>
      <c r="D155">
        <v>1</v>
      </c>
      <c r="E155">
        <v>0</v>
      </c>
      <c r="F155">
        <v>0</v>
      </c>
      <c r="G155">
        <v>1</v>
      </c>
    </row>
    <row r="156" spans="1:7" x14ac:dyDescent="0.3">
      <c r="A156" t="s">
        <v>175</v>
      </c>
      <c r="B156" s="7">
        <v>45449</v>
      </c>
      <c r="C156" t="s">
        <v>338</v>
      </c>
      <c r="D156">
        <v>0</v>
      </c>
      <c r="E156">
        <v>0</v>
      </c>
      <c r="F156">
        <v>1</v>
      </c>
      <c r="G156">
        <v>1</v>
      </c>
    </row>
    <row r="157" spans="1:7" x14ac:dyDescent="0.3">
      <c r="A157" t="s">
        <v>175</v>
      </c>
      <c r="B157" s="7">
        <v>45449</v>
      </c>
      <c r="C157" t="s">
        <v>339</v>
      </c>
      <c r="D157">
        <v>0</v>
      </c>
      <c r="E157">
        <v>0</v>
      </c>
      <c r="F157">
        <v>1</v>
      </c>
      <c r="G157">
        <v>1</v>
      </c>
    </row>
    <row r="158" spans="1:7" x14ac:dyDescent="0.3">
      <c r="A158" t="s">
        <v>59</v>
      </c>
      <c r="B158" s="7">
        <v>45449</v>
      </c>
      <c r="C158" t="s">
        <v>313</v>
      </c>
      <c r="D158">
        <v>1</v>
      </c>
      <c r="E158">
        <v>0</v>
      </c>
      <c r="F158">
        <v>1</v>
      </c>
      <c r="G158">
        <v>2</v>
      </c>
    </row>
    <row r="159" spans="1:7" x14ac:dyDescent="0.3">
      <c r="A159" t="s">
        <v>59</v>
      </c>
      <c r="B159" s="7">
        <v>45449</v>
      </c>
      <c r="C159" t="s">
        <v>220</v>
      </c>
      <c r="D159">
        <v>0</v>
      </c>
      <c r="E159">
        <v>1</v>
      </c>
      <c r="F159">
        <v>0</v>
      </c>
      <c r="G159">
        <v>1</v>
      </c>
    </row>
    <row r="160" spans="1:7" x14ac:dyDescent="0.3">
      <c r="A160" t="s">
        <v>152</v>
      </c>
      <c r="B160" s="7">
        <v>45449</v>
      </c>
      <c r="C160" t="s">
        <v>340</v>
      </c>
      <c r="D160">
        <v>0</v>
      </c>
      <c r="E160">
        <v>1</v>
      </c>
      <c r="F160">
        <v>0</v>
      </c>
      <c r="G160">
        <v>1</v>
      </c>
    </row>
    <row r="161" spans="1:7" x14ac:dyDescent="0.3">
      <c r="A161" t="s">
        <v>59</v>
      </c>
      <c r="B161" s="7">
        <v>45449</v>
      </c>
      <c r="C161" t="s">
        <v>303</v>
      </c>
      <c r="D161">
        <v>0</v>
      </c>
      <c r="E161">
        <v>1</v>
      </c>
      <c r="F161">
        <v>0</v>
      </c>
      <c r="G161">
        <v>1</v>
      </c>
    </row>
    <row r="162" spans="1:7" x14ac:dyDescent="0.3">
      <c r="A162" t="s">
        <v>152</v>
      </c>
      <c r="B162" s="7">
        <v>45449</v>
      </c>
      <c r="C162" t="s">
        <v>244</v>
      </c>
      <c r="D162">
        <v>0</v>
      </c>
      <c r="E162">
        <v>0</v>
      </c>
      <c r="F162">
        <v>1</v>
      </c>
      <c r="G162">
        <v>1</v>
      </c>
    </row>
    <row r="163" spans="1:7" x14ac:dyDescent="0.3">
      <c r="A163" t="s">
        <v>59</v>
      </c>
      <c r="B163" s="7">
        <v>45479</v>
      </c>
      <c r="C163" t="s">
        <v>256</v>
      </c>
      <c r="D163">
        <v>1</v>
      </c>
      <c r="E163">
        <v>0</v>
      </c>
      <c r="F163">
        <v>0</v>
      </c>
      <c r="G163">
        <v>1</v>
      </c>
    </row>
    <row r="164" spans="1:7" x14ac:dyDescent="0.3">
      <c r="A164" t="s">
        <v>152</v>
      </c>
      <c r="B164" s="7">
        <v>45479</v>
      </c>
      <c r="C164" t="s">
        <v>341</v>
      </c>
      <c r="D164">
        <v>1</v>
      </c>
      <c r="E164">
        <v>0</v>
      </c>
      <c r="F164">
        <v>0</v>
      </c>
      <c r="G164">
        <v>1</v>
      </c>
    </row>
    <row r="165" spans="1:7" x14ac:dyDescent="0.3">
      <c r="A165" t="s">
        <v>152</v>
      </c>
      <c r="B165" s="7">
        <v>45479</v>
      </c>
      <c r="C165" t="s">
        <v>342</v>
      </c>
      <c r="D165">
        <v>1</v>
      </c>
      <c r="E165">
        <v>0</v>
      </c>
      <c r="F165">
        <v>0</v>
      </c>
      <c r="G165">
        <v>1</v>
      </c>
    </row>
    <row r="166" spans="1:7" x14ac:dyDescent="0.3">
      <c r="A166" t="s">
        <v>59</v>
      </c>
      <c r="B166" s="7">
        <v>45479</v>
      </c>
      <c r="C166" t="s">
        <v>343</v>
      </c>
      <c r="D166">
        <v>1</v>
      </c>
      <c r="E166">
        <v>0</v>
      </c>
      <c r="F166">
        <v>0</v>
      </c>
      <c r="G166">
        <v>1</v>
      </c>
    </row>
    <row r="167" spans="1:7" x14ac:dyDescent="0.3">
      <c r="A167" t="s">
        <v>152</v>
      </c>
      <c r="B167" s="7">
        <v>45479</v>
      </c>
      <c r="C167" t="s">
        <v>344</v>
      </c>
      <c r="D167">
        <v>1</v>
      </c>
      <c r="E167">
        <v>0</v>
      </c>
      <c r="F167">
        <v>0</v>
      </c>
      <c r="G167">
        <v>1</v>
      </c>
    </row>
    <row r="168" spans="1:7" x14ac:dyDescent="0.3">
      <c r="A168" t="s">
        <v>59</v>
      </c>
      <c r="B168" s="7">
        <v>45479</v>
      </c>
      <c r="C168" t="s">
        <v>220</v>
      </c>
      <c r="D168">
        <v>1</v>
      </c>
      <c r="E168">
        <v>0</v>
      </c>
      <c r="F168">
        <v>0</v>
      </c>
      <c r="G168">
        <v>1</v>
      </c>
    </row>
    <row r="169" spans="1:7" x14ac:dyDescent="0.3">
      <c r="A169" t="s">
        <v>152</v>
      </c>
      <c r="B169" s="7">
        <v>45510</v>
      </c>
      <c r="C169" t="s">
        <v>345</v>
      </c>
      <c r="D169">
        <v>1</v>
      </c>
      <c r="E169">
        <v>0</v>
      </c>
      <c r="F169">
        <v>0</v>
      </c>
      <c r="G169">
        <v>1</v>
      </c>
    </row>
    <row r="170" spans="1:7" x14ac:dyDescent="0.3">
      <c r="A170" t="s">
        <v>59</v>
      </c>
      <c r="B170" s="7">
        <v>45510</v>
      </c>
      <c r="C170" t="s">
        <v>303</v>
      </c>
      <c r="D170">
        <v>2</v>
      </c>
      <c r="E170">
        <v>0</v>
      </c>
      <c r="F170">
        <v>0</v>
      </c>
      <c r="G170">
        <v>2</v>
      </c>
    </row>
    <row r="171" spans="1:7" x14ac:dyDescent="0.3">
      <c r="A171" t="s">
        <v>152</v>
      </c>
      <c r="B171" s="7">
        <v>45510</v>
      </c>
      <c r="C171" t="s">
        <v>270</v>
      </c>
      <c r="D171">
        <v>1</v>
      </c>
      <c r="E171">
        <v>0</v>
      </c>
      <c r="F171">
        <v>0</v>
      </c>
      <c r="G171">
        <v>1</v>
      </c>
    </row>
    <row r="172" spans="1:7" x14ac:dyDescent="0.3">
      <c r="A172" t="s">
        <v>152</v>
      </c>
      <c r="B172" s="7">
        <v>45510</v>
      </c>
      <c r="C172" t="s">
        <v>346</v>
      </c>
      <c r="D172">
        <v>1</v>
      </c>
      <c r="E172">
        <v>0</v>
      </c>
      <c r="F172">
        <v>0</v>
      </c>
      <c r="G172">
        <v>1</v>
      </c>
    </row>
    <row r="173" spans="1:7" x14ac:dyDescent="0.3">
      <c r="A173" t="s">
        <v>22</v>
      </c>
      <c r="B173" s="7">
        <v>45510</v>
      </c>
      <c r="C173" t="s">
        <v>243</v>
      </c>
      <c r="D173">
        <v>1</v>
      </c>
      <c r="E173">
        <v>0</v>
      </c>
      <c r="F173">
        <v>0</v>
      </c>
      <c r="G173">
        <v>1</v>
      </c>
    </row>
    <row r="174" spans="1:7" x14ac:dyDescent="0.3">
      <c r="A174" t="s">
        <v>175</v>
      </c>
      <c r="B174" s="7">
        <v>45510</v>
      </c>
      <c r="C174" t="s">
        <v>229</v>
      </c>
      <c r="D174">
        <v>0</v>
      </c>
      <c r="E174">
        <v>0</v>
      </c>
      <c r="F174">
        <v>1</v>
      </c>
      <c r="G174">
        <v>1</v>
      </c>
    </row>
    <row r="175" spans="1:7" x14ac:dyDescent="0.3">
      <c r="A175" t="s">
        <v>22</v>
      </c>
      <c r="B175" s="7">
        <v>45541</v>
      </c>
      <c r="C175" t="s">
        <v>347</v>
      </c>
      <c r="D175">
        <v>1</v>
      </c>
      <c r="E175">
        <v>0</v>
      </c>
      <c r="F175">
        <v>0</v>
      </c>
      <c r="G175">
        <v>1</v>
      </c>
    </row>
    <row r="176" spans="1:7" x14ac:dyDescent="0.3">
      <c r="A176" t="s">
        <v>175</v>
      </c>
      <c r="B176" s="7">
        <v>45541</v>
      </c>
      <c r="C176" t="s">
        <v>229</v>
      </c>
      <c r="D176">
        <v>0</v>
      </c>
      <c r="E176">
        <v>0</v>
      </c>
      <c r="F176">
        <v>1</v>
      </c>
      <c r="G176">
        <v>1</v>
      </c>
    </row>
    <row r="177" spans="1:7" x14ac:dyDescent="0.3">
      <c r="A177" t="s">
        <v>175</v>
      </c>
      <c r="B177" s="7">
        <v>45541</v>
      </c>
      <c r="C177" t="s">
        <v>225</v>
      </c>
      <c r="D177">
        <v>2</v>
      </c>
      <c r="E177">
        <v>0</v>
      </c>
      <c r="F177">
        <v>2</v>
      </c>
      <c r="G177">
        <v>4</v>
      </c>
    </row>
    <row r="178" spans="1:7" x14ac:dyDescent="0.3">
      <c r="A178" t="s">
        <v>9</v>
      </c>
      <c r="B178" s="7">
        <v>45541</v>
      </c>
      <c r="C178" t="s">
        <v>259</v>
      </c>
      <c r="D178">
        <v>1</v>
      </c>
      <c r="E178">
        <v>0</v>
      </c>
      <c r="F178">
        <v>0</v>
      </c>
      <c r="G178">
        <v>1</v>
      </c>
    </row>
    <row r="179" spans="1:7" x14ac:dyDescent="0.3">
      <c r="A179" t="s">
        <v>175</v>
      </c>
      <c r="B179" s="7">
        <v>45541</v>
      </c>
      <c r="C179" t="s">
        <v>254</v>
      </c>
      <c r="D179">
        <v>1</v>
      </c>
      <c r="E179">
        <v>0</v>
      </c>
      <c r="F179">
        <v>0</v>
      </c>
      <c r="G179">
        <v>1</v>
      </c>
    </row>
    <row r="180" spans="1:7" x14ac:dyDescent="0.3">
      <c r="A180" t="s">
        <v>59</v>
      </c>
      <c r="B180" s="7">
        <v>45541</v>
      </c>
      <c r="C180" t="s">
        <v>348</v>
      </c>
      <c r="D180">
        <v>1</v>
      </c>
      <c r="E180">
        <v>0</v>
      </c>
      <c r="F180">
        <v>0</v>
      </c>
      <c r="G180">
        <v>1</v>
      </c>
    </row>
    <row r="181" spans="1:7" x14ac:dyDescent="0.3">
      <c r="A181" t="s">
        <v>152</v>
      </c>
      <c r="B181" s="7">
        <v>45541</v>
      </c>
      <c r="C181" t="s">
        <v>270</v>
      </c>
      <c r="D181">
        <v>1</v>
      </c>
      <c r="E181">
        <v>0</v>
      </c>
      <c r="F181">
        <v>0</v>
      </c>
      <c r="G181">
        <v>1</v>
      </c>
    </row>
    <row r="182" spans="1:7" x14ac:dyDescent="0.3">
      <c r="A182" t="s">
        <v>59</v>
      </c>
      <c r="B182" s="7">
        <v>45541</v>
      </c>
      <c r="C182" t="s">
        <v>306</v>
      </c>
      <c r="D182">
        <v>1</v>
      </c>
      <c r="E182">
        <v>0</v>
      </c>
      <c r="F182">
        <v>1</v>
      </c>
      <c r="G182">
        <v>2</v>
      </c>
    </row>
    <row r="183" spans="1:7" x14ac:dyDescent="0.3">
      <c r="A183" t="s">
        <v>175</v>
      </c>
      <c r="B183" s="7">
        <v>45541</v>
      </c>
      <c r="C183" t="s">
        <v>302</v>
      </c>
      <c r="D183">
        <v>1</v>
      </c>
      <c r="E183">
        <v>0</v>
      </c>
      <c r="F183">
        <v>0</v>
      </c>
      <c r="G183">
        <v>1</v>
      </c>
    </row>
    <row r="184" spans="1:7" x14ac:dyDescent="0.3">
      <c r="A184" t="s">
        <v>59</v>
      </c>
      <c r="B184" s="7">
        <v>45541</v>
      </c>
      <c r="C184" t="s">
        <v>300</v>
      </c>
      <c r="D184">
        <v>0</v>
      </c>
      <c r="E184">
        <v>0</v>
      </c>
      <c r="F184">
        <v>1</v>
      </c>
      <c r="G184">
        <v>1</v>
      </c>
    </row>
    <row r="185" spans="1:7" x14ac:dyDescent="0.3">
      <c r="A185" t="s">
        <v>152</v>
      </c>
      <c r="B185" s="7">
        <v>45541</v>
      </c>
      <c r="C185" t="s">
        <v>349</v>
      </c>
      <c r="D185">
        <v>0</v>
      </c>
      <c r="E185">
        <v>0</v>
      </c>
      <c r="F185">
        <v>1</v>
      </c>
      <c r="G185">
        <v>1</v>
      </c>
    </row>
    <row r="186" spans="1:7" x14ac:dyDescent="0.3">
      <c r="A186" t="s">
        <v>59</v>
      </c>
      <c r="B186" s="7">
        <v>45541</v>
      </c>
      <c r="C186" t="s">
        <v>343</v>
      </c>
      <c r="D186">
        <v>1</v>
      </c>
      <c r="E186">
        <v>0</v>
      </c>
      <c r="F186">
        <v>0</v>
      </c>
      <c r="G186">
        <v>1</v>
      </c>
    </row>
    <row r="187" spans="1:7" x14ac:dyDescent="0.3">
      <c r="A187" t="s">
        <v>59</v>
      </c>
      <c r="B187" s="7">
        <v>45541</v>
      </c>
      <c r="C187" t="s">
        <v>220</v>
      </c>
      <c r="D187">
        <v>1</v>
      </c>
      <c r="E187">
        <v>0</v>
      </c>
      <c r="F187">
        <v>1</v>
      </c>
      <c r="G187">
        <v>2</v>
      </c>
    </row>
    <row r="188" spans="1:7" x14ac:dyDescent="0.3">
      <c r="A188" t="s">
        <v>152</v>
      </c>
      <c r="B188" s="7">
        <v>45571</v>
      </c>
      <c r="C188" t="s">
        <v>350</v>
      </c>
      <c r="D188">
        <v>1</v>
      </c>
      <c r="E188">
        <v>0</v>
      </c>
      <c r="F188">
        <v>0</v>
      </c>
      <c r="G188">
        <v>1</v>
      </c>
    </row>
    <row r="189" spans="1:7" x14ac:dyDescent="0.3">
      <c r="A189" t="s">
        <v>59</v>
      </c>
      <c r="B189" s="7">
        <v>45571</v>
      </c>
      <c r="C189" t="s">
        <v>256</v>
      </c>
      <c r="D189">
        <v>1</v>
      </c>
      <c r="E189">
        <v>0</v>
      </c>
      <c r="F189">
        <v>0</v>
      </c>
      <c r="G189">
        <v>1</v>
      </c>
    </row>
    <row r="190" spans="1:7" x14ac:dyDescent="0.3">
      <c r="A190" t="s">
        <v>152</v>
      </c>
      <c r="B190" s="7">
        <v>45571</v>
      </c>
      <c r="C190" t="s">
        <v>244</v>
      </c>
      <c r="D190">
        <v>1</v>
      </c>
      <c r="E190">
        <v>0</v>
      </c>
      <c r="F190">
        <v>0</v>
      </c>
      <c r="G190">
        <v>1</v>
      </c>
    </row>
    <row r="191" spans="1:7" x14ac:dyDescent="0.3">
      <c r="A191" t="s">
        <v>59</v>
      </c>
      <c r="B191" s="7">
        <v>45571</v>
      </c>
      <c r="C191" t="s">
        <v>220</v>
      </c>
      <c r="D191">
        <v>1</v>
      </c>
      <c r="E191">
        <v>0</v>
      </c>
      <c r="F191">
        <v>0</v>
      </c>
      <c r="G191">
        <v>1</v>
      </c>
    </row>
    <row r="192" spans="1:7" x14ac:dyDescent="0.3">
      <c r="A192" t="s">
        <v>59</v>
      </c>
      <c r="B192" s="7">
        <v>45571</v>
      </c>
      <c r="C192" t="s">
        <v>351</v>
      </c>
      <c r="D192">
        <v>0</v>
      </c>
      <c r="E192">
        <v>1</v>
      </c>
      <c r="F192">
        <v>0</v>
      </c>
      <c r="G192">
        <v>1</v>
      </c>
    </row>
    <row r="193" spans="1:7" x14ac:dyDescent="0.3">
      <c r="A193" t="s">
        <v>59</v>
      </c>
      <c r="B193" s="7">
        <v>45571</v>
      </c>
      <c r="C193" t="s">
        <v>303</v>
      </c>
      <c r="D193">
        <v>1</v>
      </c>
      <c r="E193">
        <v>0</v>
      </c>
      <c r="F193">
        <v>0</v>
      </c>
      <c r="G193">
        <v>1</v>
      </c>
    </row>
    <row r="194" spans="1:7" x14ac:dyDescent="0.3">
      <c r="A194" t="s">
        <v>152</v>
      </c>
      <c r="B194" s="7">
        <v>45571</v>
      </c>
      <c r="C194" t="s">
        <v>326</v>
      </c>
      <c r="D194">
        <v>1</v>
      </c>
      <c r="E194">
        <v>0</v>
      </c>
      <c r="F194">
        <v>0</v>
      </c>
      <c r="G194">
        <v>1</v>
      </c>
    </row>
    <row r="195" spans="1:7" x14ac:dyDescent="0.3">
      <c r="A195" t="s">
        <v>173</v>
      </c>
      <c r="B195" s="7">
        <v>45571</v>
      </c>
      <c r="C195" t="s">
        <v>352</v>
      </c>
      <c r="D195">
        <v>0</v>
      </c>
      <c r="E195">
        <v>1</v>
      </c>
      <c r="F195">
        <v>0</v>
      </c>
      <c r="G195">
        <v>1</v>
      </c>
    </row>
    <row r="196" spans="1:7" x14ac:dyDescent="0.3">
      <c r="A196" t="s">
        <v>175</v>
      </c>
      <c r="B196" s="7">
        <v>45602</v>
      </c>
      <c r="C196" t="s">
        <v>229</v>
      </c>
      <c r="D196">
        <v>1</v>
      </c>
      <c r="E196">
        <v>0</v>
      </c>
      <c r="F196">
        <v>1</v>
      </c>
      <c r="G196">
        <v>2</v>
      </c>
    </row>
    <row r="197" spans="1:7" x14ac:dyDescent="0.3">
      <c r="A197" t="s">
        <v>22</v>
      </c>
      <c r="B197" s="7">
        <v>45602</v>
      </c>
      <c r="C197" t="s">
        <v>353</v>
      </c>
      <c r="D197">
        <v>1</v>
      </c>
      <c r="E197">
        <v>0</v>
      </c>
      <c r="F197">
        <v>0</v>
      </c>
      <c r="G197">
        <v>1</v>
      </c>
    </row>
    <row r="198" spans="1:7" x14ac:dyDescent="0.3">
      <c r="A198" t="s">
        <v>175</v>
      </c>
      <c r="B198" s="7">
        <v>45602</v>
      </c>
      <c r="C198" t="s">
        <v>225</v>
      </c>
      <c r="D198">
        <v>1</v>
      </c>
      <c r="E198">
        <v>0</v>
      </c>
      <c r="F198">
        <v>1</v>
      </c>
      <c r="G198">
        <v>2</v>
      </c>
    </row>
    <row r="199" spans="1:7" x14ac:dyDescent="0.3">
      <c r="A199" t="s">
        <v>59</v>
      </c>
      <c r="B199" s="7">
        <v>45602</v>
      </c>
      <c r="C199" t="s">
        <v>241</v>
      </c>
      <c r="D199">
        <v>0</v>
      </c>
      <c r="E199">
        <v>0</v>
      </c>
      <c r="F199">
        <v>1</v>
      </c>
      <c r="G199">
        <v>1</v>
      </c>
    </row>
    <row r="200" spans="1:7" x14ac:dyDescent="0.3">
      <c r="A200" t="s">
        <v>59</v>
      </c>
      <c r="B200" s="7">
        <v>45602</v>
      </c>
      <c r="C200" t="s">
        <v>220</v>
      </c>
      <c r="D200">
        <v>0</v>
      </c>
      <c r="E200">
        <v>2</v>
      </c>
      <c r="F200">
        <v>0</v>
      </c>
      <c r="G200">
        <v>2</v>
      </c>
    </row>
    <row r="201" spans="1:7" x14ac:dyDescent="0.3">
      <c r="A201" t="s">
        <v>59</v>
      </c>
      <c r="B201" s="7">
        <v>45602</v>
      </c>
      <c r="C201" t="s">
        <v>325</v>
      </c>
      <c r="D201">
        <v>0</v>
      </c>
      <c r="E201">
        <v>0</v>
      </c>
      <c r="F201">
        <v>1</v>
      </c>
      <c r="G201">
        <v>1</v>
      </c>
    </row>
    <row r="202" spans="1:7" x14ac:dyDescent="0.3">
      <c r="A202" t="s">
        <v>59</v>
      </c>
      <c r="B202" s="7">
        <v>45602</v>
      </c>
      <c r="C202" t="s">
        <v>303</v>
      </c>
      <c r="D202">
        <v>0</v>
      </c>
      <c r="E202">
        <v>1</v>
      </c>
      <c r="F202">
        <v>0</v>
      </c>
      <c r="G202">
        <v>1</v>
      </c>
    </row>
    <row r="203" spans="1:7" x14ac:dyDescent="0.3">
      <c r="A203" t="s">
        <v>152</v>
      </c>
      <c r="B203" s="7">
        <v>45602</v>
      </c>
      <c r="C203" t="s">
        <v>354</v>
      </c>
      <c r="D203">
        <v>0</v>
      </c>
      <c r="E203">
        <v>0</v>
      </c>
      <c r="F203">
        <v>1</v>
      </c>
      <c r="G203">
        <v>1</v>
      </c>
    </row>
    <row r="204" spans="1:7" x14ac:dyDescent="0.3">
      <c r="A204" t="s">
        <v>59</v>
      </c>
      <c r="B204" s="7">
        <v>45602</v>
      </c>
      <c r="C204" t="s">
        <v>355</v>
      </c>
      <c r="D204">
        <v>0</v>
      </c>
      <c r="E204">
        <v>1</v>
      </c>
      <c r="F204">
        <v>0</v>
      </c>
      <c r="G204">
        <v>1</v>
      </c>
    </row>
    <row r="205" spans="1:7" x14ac:dyDescent="0.3">
      <c r="A205" t="s">
        <v>59</v>
      </c>
      <c r="B205" s="7">
        <v>45602</v>
      </c>
      <c r="C205" t="s">
        <v>306</v>
      </c>
      <c r="D205">
        <v>0</v>
      </c>
      <c r="E205">
        <v>1</v>
      </c>
      <c r="F205">
        <v>0</v>
      </c>
      <c r="G205">
        <v>1</v>
      </c>
    </row>
    <row r="206" spans="1:7" x14ac:dyDescent="0.3">
      <c r="A206" t="s">
        <v>22</v>
      </c>
      <c r="B206" s="7">
        <v>45627</v>
      </c>
      <c r="C206" t="s">
        <v>356</v>
      </c>
      <c r="D206">
        <v>0</v>
      </c>
      <c r="E206">
        <v>0</v>
      </c>
      <c r="F206">
        <v>1</v>
      </c>
      <c r="G206">
        <v>1</v>
      </c>
    </row>
    <row r="207" spans="1:7" x14ac:dyDescent="0.3">
      <c r="A207" t="s">
        <v>59</v>
      </c>
      <c r="B207" s="7">
        <v>45627</v>
      </c>
      <c r="C207" t="s">
        <v>306</v>
      </c>
      <c r="D207">
        <v>0</v>
      </c>
      <c r="E207">
        <v>0</v>
      </c>
      <c r="F207">
        <v>1</v>
      </c>
      <c r="G207">
        <v>1</v>
      </c>
    </row>
    <row r="208" spans="1:7" x14ac:dyDescent="0.3">
      <c r="A208" t="s">
        <v>59</v>
      </c>
      <c r="B208" s="7">
        <v>45627</v>
      </c>
      <c r="C208" t="s">
        <v>220</v>
      </c>
      <c r="D208">
        <v>0</v>
      </c>
      <c r="E208">
        <v>0</v>
      </c>
      <c r="F208">
        <v>1</v>
      </c>
      <c r="G208">
        <v>1</v>
      </c>
    </row>
    <row r="209" spans="1:7" x14ac:dyDescent="0.3">
      <c r="A209" t="s">
        <v>152</v>
      </c>
      <c r="B209" s="7">
        <v>45627</v>
      </c>
      <c r="C209" t="s">
        <v>280</v>
      </c>
      <c r="D209">
        <v>0</v>
      </c>
      <c r="E209">
        <v>1</v>
      </c>
      <c r="F209">
        <v>0</v>
      </c>
      <c r="G209">
        <v>1</v>
      </c>
    </row>
    <row r="210" spans="1:7" x14ac:dyDescent="0.3">
      <c r="A210" t="s">
        <v>175</v>
      </c>
      <c r="B210" s="7">
        <v>45627</v>
      </c>
      <c r="C210" t="s">
        <v>229</v>
      </c>
      <c r="D210">
        <v>0</v>
      </c>
      <c r="E210">
        <v>0</v>
      </c>
      <c r="F210">
        <v>1</v>
      </c>
      <c r="G210">
        <v>1</v>
      </c>
    </row>
    <row r="211" spans="1:7" x14ac:dyDescent="0.3">
      <c r="A211" t="s">
        <v>22</v>
      </c>
      <c r="B211" s="7">
        <v>45629</v>
      </c>
      <c r="C211" t="s">
        <v>357</v>
      </c>
      <c r="D211">
        <v>1</v>
      </c>
      <c r="E211">
        <v>0</v>
      </c>
      <c r="F211">
        <v>0</v>
      </c>
      <c r="G211">
        <v>1</v>
      </c>
    </row>
    <row r="212" spans="1:7" x14ac:dyDescent="0.3">
      <c r="A212" t="s">
        <v>22</v>
      </c>
      <c r="B212" s="7">
        <v>45629</v>
      </c>
      <c r="C212" t="s">
        <v>226</v>
      </c>
      <c r="D212">
        <v>1</v>
      </c>
      <c r="E212">
        <v>0</v>
      </c>
      <c r="F212">
        <v>0</v>
      </c>
      <c r="G212">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table-SWOT</vt:lpstr>
      <vt:lpstr>table-review</vt:lpstr>
      <vt:lpstr>calculation</vt:lpstr>
      <vt:lpstr>EDA-calculation</vt:lpstr>
      <vt:lpstr>database-main</vt:lpstr>
      <vt:lpstr>database-trend</vt:lpstr>
      <vt:lpstr>database-aspect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baha.t.r</dc:creator>
  <cp:lastModifiedBy>Baha Tegar Ramadhan</cp:lastModifiedBy>
  <dcterms:created xsi:type="dcterms:W3CDTF">2024-12-06T06:17:42Z</dcterms:created>
  <dcterms:modified xsi:type="dcterms:W3CDTF">2024-12-10T10:30:21Z</dcterms:modified>
</cp:coreProperties>
</file>