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<sst xmlns="http://schemas.openxmlformats.org/spreadsheetml/2006/main" count="27524" uniqueCount="1353">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</sst>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7</xdr:col>
      <xdr:colOff>1350149</xdr:colOff>
      <xdr:row>22</xdr:row>
      <xdr:rowOff>90520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3"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108"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The flashers were then replaced by traffic signal 05-1723 (plan sealed 2/25/2022). Imagery brackets the turn-on: Nearmap 5/30/2022 shows the span wire up but no stop bars on SR 1375, Street View June 2022 shows the heads bagged with the side-street stop signs still up, and Nearmap 10/21/2022 shows stop bars on both SR 1375 approaches (signal operating). The construction period is therefore extended from 5/1/2021 through 10/31/2022.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t="inlineStr">
        <is>
          <t xml:space="preserve">150 (350 on N leg)</t>
        </is>
      </c>
      <c r="E19" s="130"/>
      <c r="F19" s="117"/>
      <c r="G19" s="114"/>
      <c r="H19" s="114"/>
      <c r="I19" s="114"/>
      <c r="J19" s="114"/>
      <c r="K19" s="114"/>
      <c r="L19" s="587" t="s">
        <v>112</v>
      </c>
      <c r="M19" s="578">
        <f>'Evaluation Set-up'!D9</f>
        <v>43101</v>
      </c>
      <c r="N19" s="579">
        <f>'Evaluation Set-up'!E9</f>
        <v>44316</v>
      </c>
      <c r="O19" s="580">
        <f>'Evaluation Set-up'!F9</f>
        <v>3</v>
      </c>
      <c r="P19" s="581">
        <f>'Evaluation Set-up'!G9</f>
        <v>4</v>
      </c>
      <c r="Q19" s="114"/>
      <c r="R19" s="115"/>
    </row>
    <row r="20" spans="2:18" ht="33"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44865</v>
      </c>
      <c r="O20" s="189">
        <f>'Evaluation Set-up'!F10</f>
        <v>1</v>
      </c>
      <c r="P20" s="190">
        <f>'Evaluation Set-up'!G10</f>
        <v>6</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44866</v>
      </c>
      <c r="N21" s="186">
        <f>'Evaluation Set-up'!E11</f>
        <v>46265</v>
      </c>
      <c r="O21" s="191">
        <f>'Evaluation Set-up'!F11</f>
        <v>3</v>
      </c>
      <c r="P21" s="192">
        <f>'Evaluation Set-up'!G11</f>
        <v>10</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 / CONSTRUCTION: W-5601HP (05-08-203, WBS 50138.3.225, HSIP, B/C 3.43, evaluation order 41000076575) moved the SR 1390 (Optimist Farm Rd) approach about 200 ft south so it ties into SR 1375 directly across from SR 1503 (Donnybrook Rd) at MP 4.70, and added "Vehicle Entering When Flashing" flashers on both SR 1375 approaches. Built under the R-2721A (Complete 540) contract; the tracking database gives a 5/24/2021 start (also the let date) while the HNTB memo lists 7/2/2021 as both begin and completion; check dated aerials for earlier grading.
SIGNAL (CONFOUNDER): In 2022 a traffic signal (05-1723, 2-phase fully actuated; plan sealed 2/25/2022; not part of W-5601HP) replaced the flashers, and the VEWF signs and beacons came out. Imagery (see the completion-date notes) brackets the turn-on between late June and mid-October 2022, so the construction period is carried through 10/31/2022 and the after period (11/1/2022-8/31/2026, 3 yr 10 mo) represents the realigned, signalized intersection. If the turn-on month is pinned down (likely July 2022), set 'Evaluation Set-up' E10 to the end of that month and D5 to the months from May 2021 through it (July 2022 = 15) so D10 stays 5/1/2021.
PRIOR PROJECT: W-5205W / 05-13-6035 (sight distance improvements here, completed 2017, month unknown) was never evaluated because this project began in 2021. To keep 2017 out, the before period starts 1/1/2018 as an unequal time period ('Evaluation Set-up' B14 checked): 3 yr 4 mo before vs 3 yr 10 mo after. If W-5205W was complete by 8/31/2017, uncheck B14 for equal periods.
Y-LINE: 150 ft on the south, east and west legs, extended to 350 ft on the north leg (the southbound SR 1375 approach) so the former SR 1390 junction (MP 4.66, about 200 ft north) is covered with the usual 150 ft beyond it. Per the extended-Y-line guidance for realignments; the same leg limits apply in both periods. Pull the fiche wide (SR 1375 MP 4.55-4.85 plus SR 1390, SR 1503, SR 1392), bin by leg and distance in the Fiche Prep Tool, and edit the One Pager criteria sentence for the north-leg extension; curve-exit crashes farther up the north approach can go in the additional-information table.
SPEED LIMITS: SR 1375 is posted 45 mph (signal plans, crash reports; NCDOT GIS layer 55 statutory). SR 1390 35 mph (2022 plan, GIS; 45 on the 2019 plan). SR 1503 45 mph (plans, TSU inventory; GIS 35). O7 uses 35 mph (SR 1390, the realigned leg). Verify postings.
VOLUMES: All four legs have NCDOT 2025 AADT stations (notes in 'Evaluation Set-up' L72:L76). Counted years are in black, interpolated years in red. The minor-leg stations sit away from the intersection, so both minor legs are flagged as estimated; the same stations serve both periods. Representative years 2021 (before) and 2025 (after).
OTHER CHANGES: Complete 540 (NC 540; built from 2019) opened 9/24/2024 and crosses SR 1375 about 0.3 mi north with no interchange there, changing travel patterns in the after period's last two years. TEAAS date assumed 8/31/2026 (update D4 on 'Evaluation Set-up' if newer).</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18</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40</v>
      </c>
    </row>
    <row r="9" spans="2:34" ht="15" customHeight="1">
      <c r="B9" s="116"/>
      <c r="C9" s="229" t="s">
        <v>112</v>
      </c>
      <c r="D9" s="182">
        <f>IF(B14,D14,DATE(AF8-F11,AG8-G11+1,1))</f>
        <v>43101</v>
      </c>
      <c r="E9" s="185">
        <f>D10-1</f>
        <v>44316</v>
      </c>
      <c r="F9" s="187">
        <f>ROUNDDOWN(AH8/12,0)</f>
        <v>3</v>
      </c>
      <c r="G9" s="188">
        <f>AH8-12*F9</f>
        <v>4</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10</v>
      </c>
      <c r="AH9" s="261">
        <f>(YEAR(D11)-YEAR(D10))*12+MONTH(D11)-MONTH(D10)</f>
        <v>18</v>
      </c>
    </row>
    <row r="10" spans="2:34" ht="15" customHeight="1" thickBot="1">
      <c r="B10" s="116"/>
      <c r="C10" s="231" t="s">
        <v>144</v>
      </c>
      <c r="D10" s="183">
        <f>DATE(AF9,AG9-(D5-1),1)</f>
        <v>44317</v>
      </c>
      <c r="E10" s="232">
        <v>44865</v>
      </c>
      <c r="F10" s="189">
        <f>ROUNDDOWN(AH9/12,0)</f>
        <v>1</v>
      </c>
      <c r="G10" s="190">
        <f>AH9-12*F10</f>
        <v>6</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46</v>
      </c>
    </row>
    <row r="11" spans="2:34" ht="15" customHeight="1" thickBot="1">
      <c r="B11" s="116"/>
      <c r="C11" s="233" t="s">
        <v>113</v>
      </c>
      <c r="D11" s="184">
        <f>E10+1</f>
        <v>44866</v>
      </c>
      <c r="E11" s="186">
        <f>D4</f>
        <v>46265</v>
      </c>
      <c r="F11" s="191">
        <f>ROUNDDOWN(AH10/12,0)</f>
        <v>3</v>
      </c>
      <c r="G11" s="192">
        <f>AH10-12*F11</f>
        <v>10</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1</v>
      </c>
      <c r="C14" s="240" t="s">
        <v>445</v>
      </c>
      <c r="D14" s="241">
        <v>43101</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55">
        <f>O62</f>
        <v>5400</v>
      </c>
      <c r="P18" s="654">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55">
        <f>O64</f>
        <v>5500</v>
      </c>
      <c r="P20" s="654">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55">
        <f>O66</f>
        <v>5600</v>
      </c>
      <c r="P22" s="654">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55">
        <f>O68</f>
        <v>4800</v>
      </c>
      <c r="P24" s="654">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55">
        <f>O70</f>
        <v>4800</v>
      </c>
      <c r="P26" s="654">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the SR 1390 leg is flagged as estimated in the Assumptions leg table (counted years are still shown in black);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(counted years in black) and the leg is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(01/01/18 - 04/30/21)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(11/01/22 - 08/31/26)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(3.33 years)</v>
      </c>
      <c r="AW5" s="393" t="str">
        <f>"("&amp;TEXT(ROUND('Evaluation Set-up'!$F$11+'Evaluation Set-up'!$G$11/12, 2), "0.00")&amp;" years"&amp;")"</f>
        <v>(3.83 years)</v>
      </c>
      <c r="AX5" s="810"/>
      <c r="AZ5" s="806"/>
      <c r="BA5" s="393" t="str">
        <f>"("&amp;TEXT(ROUND('Evaluation Set-up'!$F$9+'Evaluation Set-up'!$G$9/12, 2), "0.00")&amp;" years"&amp;")"</f>
        <v>(3.33 years)</v>
      </c>
      <c r="BB5" s="393" t="str">
        <f>"("&amp;TEXT(ROUND('Evaluation Set-up'!$F$11+'Evaluation Set-up'!$G$11/12, 2), "0.00")&amp;" years"&amp;")"</f>
        <v>(3.83 years)</v>
      </c>
      <c r="BC5" s="810"/>
      <c r="BE5" s="806"/>
      <c r="BF5" s="393" t="str">
        <f>"("&amp;TEXT(ROUND('Evaluation Set-up'!$F$9+'Evaluation Set-up'!$G$9/12, 2), "0.00")&amp;" years"&amp;")"</f>
        <v>(3.33 years)</v>
      </c>
      <c r="BG5" s="393" t="str">
        <f>"("&amp;TEXT(ROUND('Evaluation Set-up'!$F$11+'Evaluation Set-up'!$G$11/12, 2), "0.00")&amp;" years"&amp;")"</f>
        <v>(3.83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6</v>
      </c>
      <c r="AW8" s="407">
        <f>AW6/('Evaluation Set-up'!$F$11+'Evaluation Set-up'!$G$11/12)</f>
        <v>9.1304347826087</v>
      </c>
      <c r="AX8" s="408">
        <f t="shared" si="4"/>
        <v>0.521739130434783</v>
      </c>
      <c r="AZ8" s="406" t="s">
        <v>340</v>
      </c>
      <c r="BA8" s="407">
        <f>BA6/('Evaluation Set-up'!$F$9+'Evaluation Set-up'!$G$9/12)</f>
        <v>6</v>
      </c>
      <c r="BB8" s="407">
        <f>BB6/('Evaluation Set-up'!$F$11+'Evaluation Set-up'!$G$11/12)</f>
        <v>9.1304347826087</v>
      </c>
      <c r="BC8" s="408">
        <f t="shared" si="5"/>
        <v>0.521739130434783</v>
      </c>
      <c r="BE8" s="406" t="s">
        <v>340</v>
      </c>
      <c r="BF8" s="407">
        <f>BF6/('Evaluation Set-up'!$F$9+'Evaluation Set-up'!$G$9/12)</f>
        <v>6</v>
      </c>
      <c r="BG8" s="407">
        <f>BG6/('Evaluation Set-up'!$F$11+'Evaluation Set-up'!$G$11/12)</f>
        <v>9.1304347826087</v>
      </c>
      <c r="BH8" s="408">
        <f t="shared" si="6"/>
        <v>0.521739130434783</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1.2</v>
      </c>
      <c r="AW12" s="407">
        <f>AW10/('Evaluation Set-up'!$F$11+'Evaluation Set-up'!$G$11/12)</f>
        <v>1.30434782608696</v>
      </c>
      <c r="AX12" s="408">
        <f t="shared" si="10"/>
        <v>0.0869565217391305</v>
      </c>
      <c r="AZ12" s="406" t="s">
        <v>345</v>
      </c>
      <c r="BA12" s="407">
        <f>BA10/('Evaluation Set-up'!$F$9+'Evaluation Set-up'!$G$9/12)</f>
        <v>1.2</v>
      </c>
      <c r="BB12" s="407">
        <f>BB10/('Evaluation Set-up'!$F$11+'Evaluation Set-up'!$G$11/12)</f>
        <v>1.30434782608696</v>
      </c>
      <c r="BC12" s="408">
        <f t="shared" si="11"/>
        <v>0.0869565217391305</v>
      </c>
      <c r="BE12" s="406" t="s">
        <v>345</v>
      </c>
      <c r="BF12" s="407">
        <f>BF10/('Evaluation Set-up'!$F$9+'Evaluation Set-up'!$G$9/12)</f>
        <v>1.2</v>
      </c>
      <c r="BG12" s="407">
        <f>BG10/('Evaluation Set-up'!$F$11+'Evaluation Set-up'!$G$11/12)</f>
        <v>1.30434782608696</v>
      </c>
      <c r="BH12" s="408">
        <f t="shared" si="12"/>
        <v>0.0869565217391305</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(3.33 years)</v>
      </c>
      <c r="M14" s="433" t="str">
        <f>"("&amp;TEXT(ROUND('Evaluation Set-up'!$F$11+'Evaluation Set-up'!$G$11/12, 2), "0.00")&amp;" years"&amp;")"</f>
        <v>(3.83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3 cpy (10)</v>
      </c>
      <c r="M15" s="372" t="str">
        <f>ROUND(M5/('Evaluation Set-up'!$F$11+'Evaluation Set-up'!$G$11/12),2)&amp;" cpy ("&amp;M5&amp;")"</f>
        <v>5.74 cpy (22)</v>
      </c>
      <c r="N15" s="373">
        <f>IFERROR(IF((((M5/('Evaluation Set-up'!$F$11+'Evaluation Set-up'!$G$11/12))-(L5/('Evaluation Set-up'!$F$9+'Evaluation Set-up'!$G$9/12)))/(L5/('Evaluation Set-up'!$F$9+'Evaluation Set-up'!$G$9/12)))&gt;1,"100+%",(((M5/('Evaluation Set-up'!$F$11+'Evaluation Set-up'!$G$11/12))-(L5/('Evaluation Set-up'!$F$9+'Evaluation Set-up'!$G$9/12)))/(L5/('Evaluation Set-up'!$F$9+'Evaluation Set-up'!$G$9/12)))), "n/a")</f>
        <v>0.91304347826087</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(350 on N leg) ft of study intersection</v>
      </c>
      <c r="K16" s="374" t="str">
        <f t="shared" si="18"/>
        <v>Angle crashes</v>
      </c>
      <c r="L16" s="375" t="str">
        <f>ROUND(L6/('Evaluation Set-up'!$F$9+'Evaluation Set-up'!$G$9/12),2)&amp;" cpy ("&amp;L6&amp;")"</f>
        <v>1.5 cpy (5)</v>
      </c>
      <c r="M16" s="375" t="str">
        <f>ROUND(M6/('Evaluation Set-up'!$F$11+'Evaluation Set-up'!$G$11/12),2)&amp;" cpy ("&amp;M6&amp;")"</f>
        <v>2.87 cpy (11)</v>
      </c>
      <c r="N16" s="376">
        <f>IFERROR(IF((((M6/('Evaluation Set-up'!$F$11+'Evaluation Set-up'!$G$11/12))-(L6/('Evaluation Set-up'!$F$9+'Evaluation Set-up'!$G$9/12)))/(L6/('Evaluation Set-up'!$F$9+'Evaluation Set-up'!$G$9/12)))&gt;1,"100+%",(((M6/('Evaluation Set-up'!$F$11+'Evaluation Set-up'!$G$11/12))-(L6/('Evaluation Set-up'!$F$9+'Evaluation Set-up'!$G$9/12)))/(L6/('Evaluation Set-up'!$F$9+'Evaluation Set-up'!$G$9/12)))), "n/a")</f>
        <v>0.91304347826087</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1.2</v>
      </c>
      <c r="BB16" s="407">
        <f>BB14/('Evaluation Set-up'!$F$11+'Evaluation Set-up'!$G$11/12)</f>
        <v>1.30434782608696</v>
      </c>
      <c r="BC16" s="408">
        <f t="shared" si="19"/>
        <v>0.0869565217391305</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1.04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(3.33 years)</v>
      </c>
      <c r="AW17" s="393" t="str">
        <f>"("&amp;TEXT(ROUND('Evaluation Set-up'!$F$11+'Evaluation Set-up'!$G$11/12, 2), "0.00")&amp;" years"&amp;")"</f>
        <v>(3.83 years)</v>
      </c>
      <c r="AX17" s="810"/>
      <c r="AZ17" s="403"/>
      <c r="BA17" s="422"/>
      <c r="BB17" s="422"/>
      <c r="BC17" s="423"/>
      <c r="BE17" s="806"/>
      <c r="BF17" s="393" t="str">
        <f>"("&amp;TEXT(ROUND('Evaluation Set-up'!$F$9+'Evaluation Set-up'!$G$9/12, 2), "0.00")&amp;" years"&amp;")"</f>
        <v>(3.33 years)</v>
      </c>
      <c r="BG17" s="393" t="str">
        <f>"("&amp;TEXT(ROUND('Evaluation Set-up'!$F$11+'Evaluation Set-up'!$G$11/12, 2), "0.00")&amp;" years"&amp;")"</f>
        <v>(3.83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1.2 cpy (4)</v>
      </c>
      <c r="M18" s="375" t="str">
        <f>ROUND(M8/('Evaluation Set-up'!$F$11+'Evaluation Set-up'!$G$11/12),2)&amp;" cpy ("&amp;M8&amp;")"</f>
        <v>2.61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0.3 cpy (1)</v>
      </c>
      <c r="M19" s="375" t="str">
        <f>ROUND(M9/('Evaluation Set-up'!$F$11+'Evaluation Set-up'!$G$11/12),2)&amp;" cpy ("&amp;M9&amp;")"</f>
        <v>0.78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1.5 cpy (5)</v>
      </c>
      <c r="M20" s="378" t="str">
        <f>ROUND(M10/('Evaluation Set-up'!$F$11+'Evaluation Set-up'!$G$11/12),2)&amp;" cpy ("&amp;M10&amp;")"</f>
        <v>1.04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-0.304347826086957</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43101</v>
      </c>
      <c r="M23" s="380">
        <f>'Evaluation Set-up'!E9</f>
        <v>44316</v>
      </c>
      <c r="N23" s="381" t="str">
        <f>'Evaluation Set-up'!F9&amp;"y, "&amp;'Evaluation Set-up'!G9&amp;"m"</f>
        <v>3y, 4m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44865</v>
      </c>
      <c r="N24" s="381" t="str">
        <f>'Evaluation Set-up'!F10&amp;"y, "&amp;'Evaluation Set-up'!G10&amp;"m"</f>
        <v>1y, 6m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1.5</v>
      </c>
      <c r="AW24" s="428">
        <f>ROUND(SUM(AW18:AW21)/('Evaluation Set-up'!$F$11+'Evaluation Set-up'!$G$11/12),2)</f>
        <v>2.35</v>
      </c>
      <c r="AX24" s="408">
        <f t="shared" ref="AX24" si="29">IFERROR(IF(((AW24-AV24)/AV24)&gt;1,"100+%",((AW24-AV24)/AV24)), "n/a")</f>
        <v>0.566666666666667</v>
      </c>
      <c r="AZ24" s="805" t="s">
        <v>24</v>
      </c>
      <c r="BA24" s="392" t="s">
        <v>16</v>
      </c>
      <c r="BB24" s="392" t="s">
        <v>17</v>
      </c>
      <c r="BC24" s="809" t="s">
        <v>25</v>
      </c>
      <c r="BE24" s="406" t="s">
        <v>342</v>
      </c>
      <c r="BF24" s="428">
        <f>ROUND(SUM(BF18:BF21)/('Evaluation Set-up'!$F$9+'Evaluation Set-up'!$G$9/12),2)</f>
        <v>1.5</v>
      </c>
      <c r="BG24" s="428">
        <f>ROUND(SUM(BG18:BG21)/('Evaluation Set-up'!$F$11+'Evaluation Set-up'!$G$11/12),2)</f>
        <v>2.35</v>
      </c>
      <c r="BH24" s="408">
        <f t="shared" ref="BH24" si="30">IFERROR(IF(((BG24-BF24)/BF24)&gt;1,"100+%",((BG24-BF24)/BF24)), "n/a")</f>
        <v>0.566666666666667</v>
      </c>
    </row>
    <row r="25" spans="2:60" ht="14.7" thickBot="1">
      <c r="B25" s="832"/>
      <c r="C25" s="825"/>
      <c r="K25" s="366" t="s">
        <v>113</v>
      </c>
      <c r="L25" s="380">
        <f>'Evaluation Set-up'!D11</f>
        <v>44866</v>
      </c>
      <c r="M25" s="380">
        <f>'Evaluation Set-up'!E11</f>
        <v>46265</v>
      </c>
      <c r="N25" s="381" t="str">
        <f>'Evaluation Set-up'!F11&amp;"y, "&amp;'Evaluation Set-up'!G11&amp;"m"</f>
        <v>3y, 10m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(3.33 years)</v>
      </c>
      <c r="BB25" s="393" t="str">
        <f>"("&amp;TEXT(ROUND('Evaluation Set-up'!$F$11+'Evaluation Set-up'!$G$11/12, 2), "0.00")&amp;" years"&amp;")"</f>
        <v>(3.83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(3.33 years)</v>
      </c>
      <c r="AW27" s="431" t="str">
        <f>"("&amp;TEXT(ROUND('Evaluation Set-up'!$F$11+'Evaluation Set-up'!$G$11/12, 2), "0.00")&amp;" years"&amp;")"</f>
        <v>(3.83 years)</v>
      </c>
      <c r="AX27" s="815"/>
      <c r="AZ27" s="394" t="s">
        <v>115</v>
      </c>
      <c r="BA27" s="396">
        <f>U5</f>
        <v>0</v>
      </c>
      <c r="BB27" s="396">
        <f>Z5</f>
        <v>0</v>
      </c>
      <c r="BC27" s="398" t="s">
        <v>343</v>
      </c>
      <c r="BE27" s="804"/>
      <c r="BF27" s="393" t="str">
        <f>"("&amp;TEXT(ROUND('Evaluation Set-up'!$F$9+'Evaluation Set-up'!$G$9/12, 2), "0.00")&amp;" years"&amp;")"</f>
        <v>(3.33 years)</v>
      </c>
      <c r="BG27" s="393" t="str">
        <f>"("&amp;TEXT(ROUND('Evaluation Set-up'!$F$11+'Evaluation Set-up'!$G$11/12, 2), "0.00")&amp;" years"&amp;")"</f>
        <v>(3.83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3.33 years</v>
      </c>
      <c r="N29" s="381" t="str">
        <f>TEXT(ROUND('Evaluation Set-up'!$F$11+'Evaluation Set-up'!$G$11/12, 2), "0.00")&amp;" years"</f>
        <v>3.83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43101</v>
      </c>
      <c r="N30" s="380">
        <f>'Evaluation Set-up'!D11</f>
        <v>44866</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1.5</v>
      </c>
      <c r="BB32" s="428">
        <f>ROUND(SUM(BB26:BB29)/('Evaluation Set-up'!$F$11+'Evaluation Set-up'!$G$11/12),2)</f>
        <v>2.35</v>
      </c>
      <c r="BC32" s="408">
        <f t="shared" ref="BC32" si="32">IFERROR(IF(((BB32-BA32)/BA32)&gt;1,"100+%",((BB32-BA32)/BA32)), "n/a")</f>
        <v>0.566666666666667</v>
      </c>
      <c r="BE32" s="394" t="s">
        <v>27</v>
      </c>
      <c r="BF32" s="396">
        <f>Y8</f>
        <v>2</v>
      </c>
      <c r="BG32" s="396">
        <f>AD8</f>
        <v>2</v>
      </c>
      <c r="BH32" s="398" t="s">
        <v>343</v>
      </c>
    </row>
    <row r="33" spans="2:60">
      <c r="K33" s="369" t="s">
        <v>13</v>
      </c>
      <c r="L33" s="384">
        <f>Assumptions!I10</f>
        <v>7</v>
      </c>
      <c r="M33" s="384">
        <f>U9/('Evaluation Set-up'!$F$9+'Evaluation Set-up'!$G$9/12)</f>
        <v>6</v>
      </c>
      <c r="N33" s="384">
        <f>Z9/('Evaluation Set-up'!$F$9+'Evaluation Set-up'!$G$9/12)</f>
        <v>10.5</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0.6</v>
      </c>
      <c r="AW34" s="428">
        <f>ROUND(SUM(AW28:AW31)/('Evaluation Set-up'!$F$11+'Evaluation Set-up'!$G$11/12),2)</f>
        <v>0.78</v>
      </c>
      <c r="AX34" s="408">
        <f t="shared" ref="AX34" si="33">IFERROR(IF(((AW34-AV34)/AV34)&gt;1,"100+%",((AW34-AV34)/AV34)), "n/a")</f>
        <v>0.3</v>
      </c>
      <c r="AZ34" s="803" t="s">
        <v>154</v>
      </c>
      <c r="BA34" s="392" t="s">
        <v>16</v>
      </c>
      <c r="BB34" s="392" t="s">
        <v>17</v>
      </c>
      <c r="BC34" s="809" t="s">
        <v>25</v>
      </c>
      <c r="BE34" s="406" t="s">
        <v>346</v>
      </c>
      <c r="BF34" s="428">
        <f>ROUND(SUM(BF28:BF31)/('Evaluation Set-up'!$F$9+'Evaluation Set-up'!$G$9/12),2)</f>
        <v>0.6</v>
      </c>
      <c r="BG34" s="428">
        <f>ROUND(SUM(BG28:BG31)/('Evaluation Set-up'!$F$11+'Evaluation Set-up'!$G$11/12),2)</f>
        <v>0.78</v>
      </c>
      <c r="BH34" s="408">
        <f t="shared" ref="BH34" si="34">IFERROR(IF(((BG34-BF34)/BF34)&gt;1,"100+%",((BG34-BF34)/BF34)), "n/a")</f>
        <v>0.3</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(3.33 years)</v>
      </c>
      <c r="BB35" s="393" t="str">
        <f>"("&amp;TEXT(ROUND('Evaluation Set-up'!$F$11+'Evaluation Set-up'!$G$11/12, 2), "0.00")&amp;" years"&amp;")"</f>
        <v>(3.83 years)</v>
      </c>
      <c r="BC35" s="810"/>
    </row>
    <row r="36" spans="2:60" ht="15.3">
      <c r="B36" s="370"/>
      <c r="C36" s="97"/>
      <c r="K36" s="353" t="s">
        <v>152</v>
      </c>
      <c r="L36" s="384">
        <f>Assumptions!I13</f>
        <v>0.4</v>
      </c>
      <c r="M36" s="384">
        <f>U6/('Evaluation Set-up'!$F$9+'Evaluation Set-up'!$G$9/12)</f>
        <v>0</v>
      </c>
      <c r="N36" s="384">
        <f>Z6/('Evaluation Set-up'!$F$9+'Evaluation Set-up'!$G$9/12)</f>
        <v>0.6</v>
      </c>
      <c r="AZ36" s="394" t="s">
        <v>114</v>
      </c>
      <c r="BA36" s="396">
        <f>Y4</f>
        <v>0</v>
      </c>
      <c r="BB36" s="396">
        <f>AD4</f>
        <v>0</v>
      </c>
      <c r="BC36" s="398" t="s">
        <v>343</v>
      </c>
    </row>
    <row r="37" spans="2:60" ht="15.3">
      <c r="B37" s="370"/>
      <c r="C37" s="97"/>
      <c r="K37" s="353" t="s">
        <v>153</v>
      </c>
      <c r="L37" s="384">
        <f>Assumptions!I14</f>
        <v>1.4</v>
      </c>
      <c r="M37" s="384">
        <f>U7/('Evaluation Set-up'!$F$9+'Evaluation Set-up'!$G$9/12)</f>
        <v>1.5</v>
      </c>
      <c r="N37" s="384">
        <f>Z7/('Evaluation Set-up'!$F$9+'Evaluation Set-up'!$G$9/12)</f>
        <v>2.1</v>
      </c>
      <c r="AZ37" s="394" t="s">
        <v>115</v>
      </c>
      <c r="BA37" s="396">
        <f>Y5</f>
        <v>0</v>
      </c>
      <c r="BB37" s="396">
        <f>AD5</f>
        <v>0</v>
      </c>
      <c r="BC37" s="398" t="s">
        <v>343</v>
      </c>
    </row>
    <row r="38" spans="2:60" ht="15.3">
      <c r="B38" s="370"/>
      <c r="C38" s="97"/>
      <c r="K38" s="353" t="s">
        <v>27</v>
      </c>
      <c r="L38" s="384">
        <f>Assumptions!I15</f>
        <v>5.2</v>
      </c>
      <c r="M38" s="384">
        <f>U8/('Evaluation Set-up'!$F$9+'Evaluation Set-up'!$G$9/12)</f>
        <v>4.5</v>
      </c>
      <c r="N38" s="384">
        <f>Z8/('Evaluation Set-up'!$F$9+'Evaluation Set-up'!$G$9/12)</f>
        <v>7.8</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0.6</v>
      </c>
      <c r="BB42" s="428">
        <f>ROUND(SUM(BB36:BB39)/('Evaluation Set-up'!$F$11+'Evaluation Set-up'!$G$11/12),2)</f>
        <v>0.78</v>
      </c>
      <c r="BC42" s="408">
        <f t="shared" ref="BC42" si="35">IFERROR(IF(((BB42-BA42)/BA42)&gt;1,"100+%",((BB42-BA42)/BA42)), "n/a")</f>
        <v>0.3</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0</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cm="1" vm="1" t="str">
        <f t="array" ref="O7">_xlfn.REGEXEXTRACT(E5,"[0-9]{2}-[0-9]{2}-[0-9]{5}")</f>
        <v>W-5601HP</v>
      </c>
      <c r="AG7" s="520" t="s">
        <v>22</v>
      </c>
      <c r="AH7" s="521">
        <f>Before!$AF$9</f>
        <v>4</v>
      </c>
      <c r="AI7" s="522">
        <f>After!$AF$9</f>
        <v>5</v>
      </c>
      <c r="AJ7" s="513">
        <f>IFERROR(ROUND((AI7-AH7)/AH7,2), "n/a")</f>
        <v>0.25</v>
      </c>
    </row>
    <row r="8" spans="1:38">
      <c r="D8" s="495" t="s">
        <v>416</v>
      </c>
      <c r="E8" s="498"/>
      <c r="N8" s="98" t="s">
        <v>699</v>
      </c>
      <c r="O8" s="98" cm="1" t="str">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