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<sst xmlns="http://schemas.openxmlformats.org/spreadsheetml/2006/main" count="27524" uniqueCount="1353">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</sst>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80"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removed and replaced by traffic signal 05-1723 (plan sealed 2/25/2022; installed during 2022 per the TSU assignment notes; turn-on date not documented), so the construction period is extended from 5/1/2021 through 12/31/2022.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350</v>
      </c>
      <c r="E19" s="130"/>
      <c r="F19" s="117"/>
      <c r="G19" s="114"/>
      <c r="H19" s="114"/>
      <c r="I19" s="114"/>
      <c r="J19" s="114"/>
      <c r="K19" s="114"/>
      <c r="L19" s="587" t="s">
        <v>112</v>
      </c>
      <c r="M19" s="578">
        <f>'Evaluation Set-up'!D9</f>
        <v>43101</v>
      </c>
      <c r="N19" s="579">
        <f>'Evaluation Set-up'!E9</f>
        <v>44316</v>
      </c>
      <c r="O19" s="580">
        <f>'Evaluation Set-up'!F9</f>
        <v>3</v>
      </c>
      <c r="P19" s="581">
        <f>'Evaluation Set-up'!G9</f>
        <v>4</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44926</v>
      </c>
      <c r="O20" s="189">
        <f>'Evaluation Set-up'!F10</f>
        <v>1</v>
      </c>
      <c r="P20" s="190">
        <f>'Evaluation Set-up'!G10</f>
        <v>8</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44927</v>
      </c>
      <c r="N21" s="186">
        <f>'Evaluation Set-up'!E11</f>
        <v>46265</v>
      </c>
      <c r="O21" s="191">
        <f>'Evaluation Set-up'!F11</f>
        <v>3</v>
      </c>
      <c r="P21" s="192">
        <f>'Evaluation Set-up'!G11</f>
        <v>8</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It was built under the R-2721A (Complete 540) contract. The tracking database gives a construction start of 5/24/2021 (also the let date) and the HNTB memo lists 7/2/2021 as both begin and completion, so the start is a little uncertain; dated aerials are worth checking for earlier grading.
SIGNAL (CONFOUNDER): In 2022 a traffic signal (05-1723, 2-phase fully actuated, isolated; plan sealed 2/25/2022; not part of W-5601HP) replaced the flashers, and the VEWF signs and beacons came out. Its turn-on date is not documented, so the construction period is carried through 12/31/2022 and the after period (1/1/2023-8/31/2026) represents the realigned, signalized intersection. If the turn-on month is confirmed, set 'Evaluation Set-up' E10 to the end of that month and D5 to the months from May 2021 through that month (June 2022 = 14) so D10 stays 5/1/2021.
PRIOR PROJECT: W-5205W / 05-13-6035 (sight distance improvements here, completed 2017; month not in the files) was never evaluated because this project began in 2021. To keep 2017 out, the before period starts 1/1/2018 as an unequal time period ('Evaluation Set-up' B14 checked): 3 yr 4 mo before vs 3 yr 8 mo after. If W-5205W was complete by 8/31/2017, uncheck B14 for equal periods.
Y-LINE: 350 ft from the signalized intersection (MP 4.70), i.e. the roughly 200 ft offset to the former SR 1390 junction (MP 4.66) plus the usual 150 ft, following the guidance that Y-lines may need to be extended to cover the whole area affected by a realignment.
SPEED LIMITS: SR 1375 is posted 45 mph (signal plans and crash reports; the NCDOT GIS layer shows 55 statutory). SR 1390 is 35 mph (2022 plan and GIS; 45 on the 2019 plan). SR 1503 is 45 mph (plans and TSU inventory; GIS shows 35). O7 (minor) uses 35 mph for SR 1390, the realigned leg. Verify postings.
VOLUMES: All four legs have NCDOT 2025 AADT stations (notes in 'Evaluation Set-up' L72:L76). Counted years are in black, interpolated years in red. Both minor-leg stations sit away from the intersection (about 1 mi west beyond SR 1404; east of SR 1392), so both minor legs are flagged as estimated; the same stations serve both periods, so the before/after exposure ratio is unaffected. Representative years: 2021 (last counted year in the before period) and 2025 (after).
OTHER CHANGES: Complete 540 (NC 540; under construction from 2019 per NCDOT's project page) opened 9/24/2024 and crosses SR 1375 about 0.3 mi north with no interchange there, changing travel patterns over the last two years of the after period. The TEAAS date is assumed to be 8/31/2026; update 'Evaluation Set-up' D4 if newer data is available.</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20</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40</v>
      </c>
    </row>
    <row r="9" spans="2:34" ht="15" customHeight="1">
      <c r="B9" s="116"/>
      <c r="C9" s="229" t="s">
        <v>112</v>
      </c>
      <c r="D9" s="182">
        <f>IF(B14,D14,DATE(AF8-F11,AG8-G11+1,1))</f>
        <v>43101</v>
      </c>
      <c r="E9" s="185">
        <f>D10-1</f>
        <v>44316</v>
      </c>
      <c r="F9" s="187">
        <f>ROUNDDOWN(AH8/12,0)</f>
        <v>3</v>
      </c>
      <c r="G9" s="188">
        <f>AH8-12*F9</f>
        <v>4</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12</v>
      </c>
      <c r="AH9" s="261">
        <f>(YEAR(D11)-YEAR(D10))*12+MONTH(D11)-MONTH(D10)</f>
        <v>20</v>
      </c>
    </row>
    <row r="10" spans="2:34" ht="15" customHeight="1" thickBot="1">
      <c r="B10" s="116"/>
      <c r="C10" s="231" t="s">
        <v>144</v>
      </c>
      <c r="D10" s="183">
        <f>DATE(AF9,AG9-(D5-1),1)</f>
        <v>44317</v>
      </c>
      <c r="E10" s="232">
        <v>44926</v>
      </c>
      <c r="F10" s="189">
        <f>ROUNDDOWN(AH9/12,0)</f>
        <v>1</v>
      </c>
      <c r="G10" s="190">
        <f>AH9-12*F10</f>
        <v>8</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44</v>
      </c>
    </row>
    <row r="11" spans="2:34" ht="15" customHeight="1" thickBot="1">
      <c r="B11" s="116"/>
      <c r="C11" s="233" t="s">
        <v>113</v>
      </c>
      <c r="D11" s="184">
        <f>E10+1</f>
        <v>44927</v>
      </c>
      <c r="E11" s="186">
        <f>D4</f>
        <v>46265</v>
      </c>
      <c r="F11" s="191">
        <f>ROUNDDOWN(AH10/12,0)</f>
        <v>3</v>
      </c>
      <c r="G11" s="192">
        <f>AH10-12*F11</f>
        <v>8</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1</v>
      </c>
      <c r="C14" s="240" t="s">
        <v>445</v>
      </c>
      <c r="D14" s="241">
        <v>43101</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55">
        <f>O68</f>
        <v>4800</v>
      </c>
      <c r="P24" s="654">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the SR 1390 leg is flagged as estimated in the Assumptions leg table (counted years are still shown in black);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(counted years in black) and the leg is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(01/01/18 - 04/30/21)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(01/01/23 - 08/31/26)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(3.33 years)</v>
      </c>
      <c r="AW5" s="393" t="str">
        <f>"("&amp;TEXT(ROUND('Evaluation Set-up'!$F$11+'Evaluation Set-up'!$G$11/12, 2), "0.00")&amp;" years"&amp;")"</f>
        <v>(3.67 years)</v>
      </c>
      <c r="AX5" s="810"/>
      <c r="AZ5" s="806"/>
      <c r="BA5" s="393" t="str">
        <f>"("&amp;TEXT(ROUND('Evaluation Set-up'!$F$9+'Evaluation Set-up'!$G$9/12, 2), "0.00")&amp;" years"&amp;")"</f>
        <v>(3.33 years)</v>
      </c>
      <c r="BB5" s="393" t="str">
        <f>"("&amp;TEXT(ROUND('Evaluation Set-up'!$F$11+'Evaluation Set-up'!$G$11/12, 2), "0.00")&amp;" years"&amp;")"</f>
        <v>(3.67 years)</v>
      </c>
      <c r="BC5" s="810"/>
      <c r="BE5" s="806"/>
      <c r="BF5" s="393" t="str">
        <f>"("&amp;TEXT(ROUND('Evaluation Set-up'!$F$9+'Evaluation Set-up'!$G$9/12, 2), "0.00")&amp;" years"&amp;")"</f>
        <v>(3.33 years)</v>
      </c>
      <c r="BG5" s="393" t="str">
        <f>"("&amp;TEXT(ROUND('Evaluation Set-up'!$F$11+'Evaluation Set-up'!$G$11/12, 2), "0.00")&amp;" years"&amp;")"</f>
        <v>(3.67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6</v>
      </c>
      <c r="AW8" s="407">
        <f>AW6/('Evaluation Set-up'!$F$11+'Evaluation Set-up'!$G$11/12)</f>
        <v>9.54545454545455</v>
      </c>
      <c r="AX8" s="408">
        <f t="shared" si="4"/>
        <v>0.590909090909091</v>
      </c>
      <c r="AZ8" s="406" t="s">
        <v>340</v>
      </c>
      <c r="BA8" s="407">
        <f>BA6/('Evaluation Set-up'!$F$9+'Evaluation Set-up'!$G$9/12)</f>
        <v>6</v>
      </c>
      <c r="BB8" s="407">
        <f>BB6/('Evaluation Set-up'!$F$11+'Evaluation Set-up'!$G$11/12)</f>
        <v>9.54545454545455</v>
      </c>
      <c r="BC8" s="408">
        <f t="shared" si="5"/>
        <v>0.590909090909091</v>
      </c>
      <c r="BE8" s="406" t="s">
        <v>340</v>
      </c>
      <c r="BF8" s="407">
        <f>BF6/('Evaluation Set-up'!$F$9+'Evaluation Set-up'!$G$9/12)</f>
        <v>6</v>
      </c>
      <c r="BG8" s="407">
        <f>BG6/('Evaluation Set-up'!$F$11+'Evaluation Set-up'!$G$11/12)</f>
        <v>9.54545454545455</v>
      </c>
      <c r="BH8" s="408">
        <f t="shared" si="6"/>
        <v>0.590909090909091</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1.2</v>
      </c>
      <c r="AW12" s="407">
        <f>AW10/('Evaluation Set-up'!$F$11+'Evaluation Set-up'!$G$11/12)</f>
        <v>1.36363636363636</v>
      </c>
      <c r="AX12" s="408">
        <f t="shared" si="10"/>
        <v>0.136363636363637</v>
      </c>
      <c r="AZ12" s="406" t="s">
        <v>345</v>
      </c>
      <c r="BA12" s="407">
        <f>BA10/('Evaluation Set-up'!$F$9+'Evaluation Set-up'!$G$9/12)</f>
        <v>1.2</v>
      </c>
      <c r="BB12" s="407">
        <f>BB10/('Evaluation Set-up'!$F$11+'Evaluation Set-up'!$G$11/12)</f>
        <v>1.36363636363636</v>
      </c>
      <c r="BC12" s="408">
        <f t="shared" si="11"/>
        <v>0.136363636363637</v>
      </c>
      <c r="BE12" s="406" t="s">
        <v>345</v>
      </c>
      <c r="BF12" s="407">
        <f>BF10/('Evaluation Set-up'!$F$9+'Evaluation Set-up'!$G$9/12)</f>
        <v>1.2</v>
      </c>
      <c r="BG12" s="407">
        <f>BG10/('Evaluation Set-up'!$F$11+'Evaluation Set-up'!$G$11/12)</f>
        <v>1.36363636363636</v>
      </c>
      <c r="BH12" s="408">
        <f t="shared" si="12"/>
        <v>0.136363636363637</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(3.33 years)</v>
      </c>
      <c r="M14" s="433" t="str">
        <f>"("&amp;TEXT(ROUND('Evaluation Set-up'!$F$11+'Evaluation Set-up'!$G$11/12, 2), "0.00")&amp;" years"&amp;")"</f>
        <v>(3.67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3 cpy (10)</v>
      </c>
      <c r="M15" s="372" t="str">
        <f>ROUND(M5/('Evaluation Set-up'!$F$11+'Evaluation Set-up'!$G$11/12),2)&amp;" cpy ("&amp;M5&amp;")"</f>
        <v>6 cpy (22)</v>
      </c>
      <c r="N15" s="373">
        <f>IFERROR(IF((((M5/('Evaluation Set-up'!$F$11+'Evaluation Set-up'!$G$11/12))-(L5/('Evaluation Set-up'!$F$9+'Evaluation Set-up'!$G$9/12)))/(L5/('Evaluation Set-up'!$F$9+'Evaluation Set-up'!$G$9/12)))&gt;1,"100+%",(((M5/('Evaluation Set-up'!$F$11+'Evaluation Set-up'!$G$11/12))-(L5/('Evaluation Set-up'!$F$9+'Evaluation Set-up'!$G$9/12)))/(L5/('Evaluation Set-up'!$F$9+'Evaluation Set-up'!$G$9/12)))), "n/a")</f>
        <v>1</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350 ft of study intersection</v>
      </c>
      <c r="K16" s="374" t="str">
        <f t="shared" si="18"/>
        <v>Angle crashes</v>
      </c>
      <c r="L16" s="375" t="str">
        <f>ROUND(L6/('Evaluation Set-up'!$F$9+'Evaluation Set-up'!$G$9/12),2)&amp;" cpy ("&amp;L6&amp;")"</f>
        <v>1.5 cpy (5)</v>
      </c>
      <c r="M16" s="375" t="str">
        <f>ROUND(M6/('Evaluation Set-up'!$F$11+'Evaluation Set-up'!$G$11/12),2)&amp;" cpy ("&amp;M6&amp;")"</f>
        <v>3 cpy (11)</v>
      </c>
      <c r="N16" s="376">
        <f>IFERROR(IF((((M6/('Evaluation Set-up'!$F$11+'Evaluation Set-up'!$G$11/12))-(L6/('Evaluation Set-up'!$F$9+'Evaluation Set-up'!$G$9/12)))/(L6/('Evaluation Set-up'!$F$9+'Evaluation Set-up'!$G$9/12)))&gt;1,"100+%",(((M6/('Evaluation Set-up'!$F$11+'Evaluation Set-up'!$G$11/12))-(L6/('Evaluation Set-up'!$F$9+'Evaluation Set-up'!$G$9/12)))/(L6/('Evaluation Set-up'!$F$9+'Evaluation Set-up'!$G$9/12)))), "n/a")</f>
        <v>1</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1.2</v>
      </c>
      <c r="BB16" s="407">
        <f>BB14/('Evaluation Set-up'!$F$11+'Evaluation Set-up'!$G$11/12)</f>
        <v>1.36363636363636</v>
      </c>
      <c r="BC16" s="408">
        <f t="shared" si="19"/>
        <v>0.136363636363637</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1.09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(3.33 years)</v>
      </c>
      <c r="AW17" s="393" t="str">
        <f>"("&amp;TEXT(ROUND('Evaluation Set-up'!$F$11+'Evaluation Set-up'!$G$11/12, 2), "0.00")&amp;" years"&amp;")"</f>
        <v>(3.67 years)</v>
      </c>
      <c r="AX17" s="810"/>
      <c r="AZ17" s="403"/>
      <c r="BA17" s="422"/>
      <c r="BB17" s="422"/>
      <c r="BC17" s="423"/>
      <c r="BE17" s="806"/>
      <c r="BF17" s="393" t="str">
        <f>"("&amp;TEXT(ROUND('Evaluation Set-up'!$F$9+'Evaluation Set-up'!$G$9/12, 2), "0.00")&amp;" years"&amp;")"</f>
        <v>(3.33 years)</v>
      </c>
      <c r="BG17" s="393" t="str">
        <f>"("&amp;TEXT(ROUND('Evaluation Set-up'!$F$11+'Evaluation Set-up'!$G$11/12, 2), "0.00")&amp;" years"&amp;")"</f>
        <v>(3.67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1.2 cpy (4)</v>
      </c>
      <c r="M18" s="375" t="str">
        <f>ROUND(M8/('Evaluation Set-up'!$F$11+'Evaluation Set-up'!$G$11/12),2)&amp;" cpy ("&amp;M8&amp;")"</f>
        <v>2.73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0.3 cpy (1)</v>
      </c>
      <c r="M19" s="375" t="str">
        <f>ROUND(M9/('Evaluation Set-up'!$F$11+'Evaluation Set-up'!$G$11/12),2)&amp;" cpy ("&amp;M9&amp;")"</f>
        <v>0.82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1.5 cpy (5)</v>
      </c>
      <c r="M20" s="378" t="str">
        <f>ROUND(M10/('Evaluation Set-up'!$F$11+'Evaluation Set-up'!$G$11/12),2)&amp;" cpy ("&amp;M10&amp;")"</f>
        <v>1.09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-0.272727272727273</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43101</v>
      </c>
      <c r="M23" s="380">
        <f>'Evaluation Set-up'!E9</f>
        <v>44316</v>
      </c>
      <c r="N23" s="381" t="str">
        <f>'Evaluation Set-up'!F9&amp;"y, "&amp;'Evaluation Set-up'!G9&amp;"m"</f>
        <v>3y, 4m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44926</v>
      </c>
      <c r="N24" s="381" t="str">
        <f>'Evaluation Set-up'!F10&amp;"y, "&amp;'Evaluation Set-up'!G10&amp;"m"</f>
        <v>1y, 8m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1.5</v>
      </c>
      <c r="AW24" s="428">
        <f>ROUND(SUM(AW18:AW21)/('Evaluation Set-up'!$F$11+'Evaluation Set-up'!$G$11/12),2)</f>
        <v>2.45</v>
      </c>
      <c r="AX24" s="408">
        <f t="shared" ref="AX24" si="29">IFERROR(IF(((AW24-AV24)/AV24)&gt;1,"100+%",((AW24-AV24)/AV24)), "n/a")</f>
        <v>0.633333333333333</v>
      </c>
      <c r="AZ24" s="805" t="s">
        <v>24</v>
      </c>
      <c r="BA24" s="392" t="s">
        <v>16</v>
      </c>
      <c r="BB24" s="392" t="s">
        <v>17</v>
      </c>
      <c r="BC24" s="809" t="s">
        <v>25</v>
      </c>
      <c r="BE24" s="406" t="s">
        <v>342</v>
      </c>
      <c r="BF24" s="428">
        <f>ROUND(SUM(BF18:BF21)/('Evaluation Set-up'!$F$9+'Evaluation Set-up'!$G$9/12),2)</f>
        <v>1.5</v>
      </c>
      <c r="BG24" s="428">
        <f>ROUND(SUM(BG18:BG21)/('Evaluation Set-up'!$F$11+'Evaluation Set-up'!$G$11/12),2)</f>
        <v>2.45</v>
      </c>
      <c r="BH24" s="408">
        <f t="shared" ref="BH24" si="30">IFERROR(IF(((BG24-BF24)/BF24)&gt;1,"100+%",((BG24-BF24)/BF24)), "n/a")</f>
        <v>0.633333333333333</v>
      </c>
    </row>
    <row r="25" spans="2:60" ht="14.7" thickBot="1">
      <c r="B25" s="832"/>
      <c r="C25" s="825"/>
      <c r="K25" s="366" t="s">
        <v>113</v>
      </c>
      <c r="L25" s="380">
        <f>'Evaluation Set-up'!D11</f>
        <v>44927</v>
      </c>
      <c r="M25" s="380">
        <f>'Evaluation Set-up'!E11</f>
        <v>46265</v>
      </c>
      <c r="N25" s="381" t="str">
        <f>'Evaluation Set-up'!F11&amp;"y, "&amp;'Evaluation Set-up'!G11&amp;"m"</f>
        <v>3y, 8m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(3.33 years)</v>
      </c>
      <c r="BB25" s="393" t="str">
        <f>"("&amp;TEXT(ROUND('Evaluation Set-up'!$F$11+'Evaluation Set-up'!$G$11/12, 2), "0.00")&amp;" years"&amp;")"</f>
        <v>(3.67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(3.33 years)</v>
      </c>
      <c r="AW27" s="431" t="str">
        <f>"("&amp;TEXT(ROUND('Evaluation Set-up'!$F$11+'Evaluation Set-up'!$G$11/12, 2), "0.00")&amp;" years"&amp;")"</f>
        <v>(3.67 years)</v>
      </c>
      <c r="AX27" s="815"/>
      <c r="AZ27" s="394" t="s">
        <v>115</v>
      </c>
      <c r="BA27" s="396">
        <f>U5</f>
        <v>0</v>
      </c>
      <c r="BB27" s="396">
        <f>Z5</f>
        <v>0</v>
      </c>
      <c r="BC27" s="398" t="s">
        <v>343</v>
      </c>
      <c r="BE27" s="804"/>
      <c r="BF27" s="393" t="str">
        <f>"("&amp;TEXT(ROUND('Evaluation Set-up'!$F$9+'Evaluation Set-up'!$G$9/12, 2), "0.00")&amp;" years"&amp;")"</f>
        <v>(3.33 years)</v>
      </c>
      <c r="BG27" s="393" t="str">
        <f>"("&amp;TEXT(ROUND('Evaluation Set-up'!$F$11+'Evaluation Set-up'!$G$11/12, 2), "0.00")&amp;" years"&amp;")"</f>
        <v>(3.67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3.33 years</v>
      </c>
      <c r="N29" s="381" t="str">
        <f>TEXT(ROUND('Evaluation Set-up'!$F$11+'Evaluation Set-up'!$G$11/12, 2), "0.00")&amp;" years"</f>
        <v>3.67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43101</v>
      </c>
      <c r="N30" s="380">
        <f>'Evaluation Set-up'!D11</f>
        <v>44927</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1.5</v>
      </c>
      <c r="BB32" s="428">
        <f>ROUND(SUM(BB26:BB29)/('Evaluation Set-up'!$F$11+'Evaluation Set-up'!$G$11/12),2)</f>
        <v>2.45</v>
      </c>
      <c r="BC32" s="408">
        <f t="shared" ref="BC32" si="32">IFERROR(IF(((BB32-BA32)/BA32)&gt;1,"100+%",((BB32-BA32)/BA32)), "n/a")</f>
        <v>0.633333333333333</v>
      </c>
      <c r="BE32" s="394" t="s">
        <v>27</v>
      </c>
      <c r="BF32" s="396">
        <f>Y8</f>
        <v>2</v>
      </c>
      <c r="BG32" s="396">
        <f>AD8</f>
        <v>2</v>
      </c>
      <c r="BH32" s="398" t="s">
        <v>343</v>
      </c>
    </row>
    <row r="33" spans="2:60">
      <c r="K33" s="369" t="s">
        <v>13</v>
      </c>
      <c r="L33" s="384">
        <f>Assumptions!I10</f>
        <v>7</v>
      </c>
      <c r="M33" s="384">
        <f>U9/('Evaluation Set-up'!$F$9+'Evaluation Set-up'!$G$9/12)</f>
        <v>6</v>
      </c>
      <c r="N33" s="384">
        <f>Z9/('Evaluation Set-up'!$F$9+'Evaluation Set-up'!$G$9/12)</f>
        <v>10.5</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0.6</v>
      </c>
      <c r="AW34" s="428">
        <f>ROUND(SUM(AW28:AW31)/('Evaluation Set-up'!$F$11+'Evaluation Set-up'!$G$11/12),2)</f>
        <v>0.82</v>
      </c>
      <c r="AX34" s="408">
        <f t="shared" ref="AX34" si="33">IFERROR(IF(((AW34-AV34)/AV34)&gt;1,"100+%",((AW34-AV34)/AV34)), "n/a")</f>
        <v>0.366666666666667</v>
      </c>
      <c r="AZ34" s="803" t="s">
        <v>154</v>
      </c>
      <c r="BA34" s="392" t="s">
        <v>16</v>
      </c>
      <c r="BB34" s="392" t="s">
        <v>17</v>
      </c>
      <c r="BC34" s="809" t="s">
        <v>25</v>
      </c>
      <c r="BE34" s="406" t="s">
        <v>346</v>
      </c>
      <c r="BF34" s="428">
        <f>ROUND(SUM(BF28:BF31)/('Evaluation Set-up'!$F$9+'Evaluation Set-up'!$G$9/12),2)</f>
        <v>0.6</v>
      </c>
      <c r="BG34" s="428">
        <f>ROUND(SUM(BG28:BG31)/('Evaluation Set-up'!$F$11+'Evaluation Set-up'!$G$11/12),2)</f>
        <v>0.82</v>
      </c>
      <c r="BH34" s="408">
        <f t="shared" ref="BH34" si="34">IFERROR(IF(((BG34-BF34)/BF34)&gt;1,"100+%",((BG34-BF34)/BF34)), "n/a")</f>
        <v>0.366666666666667</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(3.33 years)</v>
      </c>
      <c r="BB35" s="393" t="str">
        <f>"("&amp;TEXT(ROUND('Evaluation Set-up'!$F$11+'Evaluation Set-up'!$G$11/12, 2), "0.00")&amp;" years"&amp;")"</f>
        <v>(3.67 years)</v>
      </c>
      <c r="BC35" s="810"/>
    </row>
    <row r="36" spans="2:60" ht="15.3">
      <c r="B36" s="370"/>
      <c r="C36" s="97"/>
      <c r="K36" s="353" t="s">
        <v>152</v>
      </c>
      <c r="L36" s="384">
        <f>Assumptions!I13</f>
        <v>0.4</v>
      </c>
      <c r="M36" s="384">
        <f>U6/('Evaluation Set-up'!$F$9+'Evaluation Set-up'!$G$9/12)</f>
        <v>0</v>
      </c>
      <c r="N36" s="384">
        <f>Z6/('Evaluation Set-up'!$F$9+'Evaluation Set-up'!$G$9/12)</f>
        <v>0.6</v>
      </c>
      <c r="AZ36" s="394" t="s">
        <v>114</v>
      </c>
      <c r="BA36" s="396">
        <f>Y4</f>
        <v>0</v>
      </c>
      <c r="BB36" s="396">
        <f>AD4</f>
        <v>0</v>
      </c>
      <c r="BC36" s="398" t="s">
        <v>343</v>
      </c>
    </row>
    <row r="37" spans="2:60" ht="15.3">
      <c r="B37" s="370"/>
      <c r="C37" s="97"/>
      <c r="K37" s="353" t="s">
        <v>153</v>
      </c>
      <c r="L37" s="384">
        <f>Assumptions!I14</f>
        <v>1.4</v>
      </c>
      <c r="M37" s="384">
        <f>U7/('Evaluation Set-up'!$F$9+'Evaluation Set-up'!$G$9/12)</f>
        <v>1.5</v>
      </c>
      <c r="N37" s="384">
        <f>Z7/('Evaluation Set-up'!$F$9+'Evaluation Set-up'!$G$9/12)</f>
        <v>2.1</v>
      </c>
      <c r="AZ37" s="394" t="s">
        <v>115</v>
      </c>
      <c r="BA37" s="396">
        <f>Y5</f>
        <v>0</v>
      </c>
      <c r="BB37" s="396">
        <f>AD5</f>
        <v>0</v>
      </c>
      <c r="BC37" s="398" t="s">
        <v>343</v>
      </c>
    </row>
    <row r="38" spans="2:60" ht="15.3">
      <c r="B38" s="370"/>
      <c r="C38" s="97"/>
      <c r="K38" s="353" t="s">
        <v>27</v>
      </c>
      <c r="L38" s="384">
        <f>Assumptions!I15</f>
        <v>5.2</v>
      </c>
      <c r="M38" s="384">
        <f>U8/('Evaluation Set-up'!$F$9+'Evaluation Set-up'!$G$9/12)</f>
        <v>4.5</v>
      </c>
      <c r="N38" s="384">
        <f>Z8/('Evaluation Set-up'!$F$9+'Evaluation Set-up'!$G$9/12)</f>
        <v>7.8</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0.6</v>
      </c>
      <c r="BB42" s="428">
        <f>ROUND(SUM(BB36:BB39)/('Evaluation Set-up'!$F$11+'Evaluation Set-up'!$G$11/12),2)</f>
        <v>0.82</v>
      </c>
      <c r="BC42" s="408">
        <f t="shared" ref="BC42" si="35">IFERROR(IF(((BB42-BA42)/BA42)&gt;1,"100+%",((BB42-BA42)/BA42)), "n/a")</f>
        <v>0.366666666666667</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0</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0</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